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ate1904="1" codeName="ThisWorkbook"/>
  <mc:AlternateContent xmlns:mc="http://schemas.openxmlformats.org/markup-compatibility/2006">
    <mc:Choice Requires="x15">
      <x15ac:absPath xmlns:x15ac="http://schemas.microsoft.com/office/spreadsheetml/2010/11/ac" url="/Users/minyoungkim/Documents/inv/Valuations/2021/"/>
    </mc:Choice>
  </mc:AlternateContent>
  <xr:revisionPtr revIDLastSave="0" documentId="13_ncr:1_{9751FDF8-0544-AD43-A57E-C4A9A6BBEAE3}" xr6:coauthVersionLast="47" xr6:coauthVersionMax="47" xr10:uidLastSave="{00000000-0000-0000-0000-000000000000}"/>
  <bookViews>
    <workbookView xWindow="15100" yWindow="2140" windowWidth="35840" windowHeight="21900" tabRatio="772" activeTab="1"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4" i="11" l="1"/>
  <c r="B24" i="25"/>
  <c r="D24" i="25" s="1"/>
  <c r="B25" i="25"/>
  <c r="B26" i="25"/>
  <c r="B27" i="25"/>
  <c r="B28" i="25"/>
  <c r="B34" i="13"/>
  <c r="B18" i="19"/>
  <c r="B12" i="19"/>
  <c r="B19" i="19"/>
  <c r="B7" i="19"/>
  <c r="B6" i="19"/>
  <c r="B11" i="19"/>
  <c r="B26" i="19"/>
  <c r="B194" i="23"/>
  <c r="I21" i="19"/>
  <c r="K21" i="19" s="1"/>
  <c r="H32" i="19"/>
  <c r="J21" i="19"/>
  <c r="B195" i="23"/>
  <c r="I22" i="19" s="1"/>
  <c r="K22" i="19" s="1"/>
  <c r="J22" i="19"/>
  <c r="B196" i="23"/>
  <c r="I23" i="19" s="1"/>
  <c r="K23" i="19" s="1"/>
  <c r="J23" i="19"/>
  <c r="B197" i="23"/>
  <c r="I24" i="19" s="1"/>
  <c r="K24" i="19" s="1"/>
  <c r="J24" i="19"/>
  <c r="B198" i="23"/>
  <c r="I25" i="19" s="1"/>
  <c r="K25" i="19" s="1"/>
  <c r="J25" i="19"/>
  <c r="B199" i="23"/>
  <c r="I26" i="19" s="1"/>
  <c r="K26" i="19" s="1"/>
  <c r="J26" i="19"/>
  <c r="B200" i="23"/>
  <c r="I27" i="19"/>
  <c r="K27" i="19" s="1"/>
  <c r="J27" i="19"/>
  <c r="B201" i="23"/>
  <c r="I28" i="19" s="1"/>
  <c r="K28" i="19" s="1"/>
  <c r="J28" i="19"/>
  <c r="B202" i="23"/>
  <c r="I29" i="19" s="1"/>
  <c r="K29" i="19" s="1"/>
  <c r="J29" i="19"/>
  <c r="J30" i="19"/>
  <c r="K30" i="19"/>
  <c r="J31" i="19"/>
  <c r="K31" i="19"/>
  <c r="H18" i="19"/>
  <c r="J11" i="19" s="1"/>
  <c r="J6" i="19"/>
  <c r="J5" i="19"/>
  <c r="J7" i="19"/>
  <c r="K7" i="19" s="1"/>
  <c r="I7" i="19"/>
  <c r="J8" i="19"/>
  <c r="J9" i="19"/>
  <c r="J10" i="19"/>
  <c r="K10" i="19" s="1"/>
  <c r="I10" i="19"/>
  <c r="I11" i="19"/>
  <c r="J12" i="19"/>
  <c r="K12" i="19" s="1"/>
  <c r="J13" i="19"/>
  <c r="K13" i="19"/>
  <c r="J14" i="19"/>
  <c r="K14" i="19" s="1"/>
  <c r="J15" i="19"/>
  <c r="K15" i="19" s="1"/>
  <c r="J17" i="19"/>
  <c r="K17" i="19" s="1"/>
  <c r="C4" i="13"/>
  <c r="D3" i="29" s="1"/>
  <c r="B3" i="13"/>
  <c r="B2" i="29" s="1"/>
  <c r="C2" i="13"/>
  <c r="B6" i="13"/>
  <c r="B11" i="28" s="1"/>
  <c r="C11" i="28" s="1"/>
  <c r="E204" i="23"/>
  <c r="E202" i="23"/>
  <c r="E201" i="23"/>
  <c r="E200" i="23"/>
  <c r="E199" i="23"/>
  <c r="E198" i="23"/>
  <c r="E197" i="23"/>
  <c r="E196" i="23"/>
  <c r="E195" i="23"/>
  <c r="E194"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38" i="23"/>
  <c r="E37" i="23"/>
  <c r="E36" i="23"/>
  <c r="E35" i="23"/>
  <c r="E34" i="23"/>
  <c r="E33" i="23"/>
  <c r="E32" i="23"/>
  <c r="E31" i="23"/>
  <c r="E30" i="23"/>
  <c r="E29" i="23"/>
  <c r="E28" i="23"/>
  <c r="E27" i="23"/>
  <c r="E26" i="23"/>
  <c r="E25" i="23"/>
  <c r="E24" i="23"/>
  <c r="E23" i="23"/>
  <c r="E22" i="23"/>
  <c r="E21" i="23"/>
  <c r="E20" i="23"/>
  <c r="E19" i="23"/>
  <c r="E18" i="23"/>
  <c r="E17" i="23"/>
  <c r="E16" i="23"/>
  <c r="E15" i="23"/>
  <c r="E14" i="23"/>
  <c r="E13" i="23"/>
  <c r="E12" i="23"/>
  <c r="E11" i="23"/>
  <c r="E10" i="23"/>
  <c r="E9" i="23"/>
  <c r="E8" i="23"/>
  <c r="E7" i="23"/>
  <c r="E6" i="23"/>
  <c r="E5" i="23"/>
  <c r="D12" i="20"/>
  <c r="D2" i="13"/>
  <c r="E2" i="13" s="1"/>
  <c r="F2" i="13" s="1"/>
  <c r="G2" i="13" s="1"/>
  <c r="K23" i="11"/>
  <c r="M12" i="13"/>
  <c r="B17" i="13" s="1"/>
  <c r="M2" i="13"/>
  <c r="F9" i="28" s="1"/>
  <c r="D9" i="28" s="1"/>
  <c r="J23" i="11"/>
  <c r="C4" i="20"/>
  <c r="H52" i="19"/>
  <c r="I53" i="19"/>
  <c r="J53" i="19" s="1"/>
  <c r="K53" i="19"/>
  <c r="I54" i="19"/>
  <c r="J54" i="19" s="1"/>
  <c r="K54" i="19"/>
  <c r="I55" i="19"/>
  <c r="J55" i="19" s="1"/>
  <c r="K55" i="19"/>
  <c r="I56" i="19"/>
  <c r="J56" i="19" s="1"/>
  <c r="K56" i="19"/>
  <c r="I57" i="19"/>
  <c r="J57" i="19" s="1"/>
  <c r="K57" i="19"/>
  <c r="I58" i="19"/>
  <c r="J58" i="19" s="1"/>
  <c r="K58" i="19"/>
  <c r="I59" i="19"/>
  <c r="J59" i="19" s="1"/>
  <c r="K59" i="19"/>
  <c r="I60" i="19"/>
  <c r="J60" i="19" s="1"/>
  <c r="K60" i="19"/>
  <c r="I61" i="19"/>
  <c r="J61" i="19" s="1"/>
  <c r="K61" i="19"/>
  <c r="I62" i="19"/>
  <c r="J62" i="19" s="1"/>
  <c r="K62" i="19"/>
  <c r="I63" i="19"/>
  <c r="J63" i="19" s="1"/>
  <c r="K63" i="19"/>
  <c r="H64" i="19"/>
  <c r="I52" i="19"/>
  <c r="J52" i="19" s="1"/>
  <c r="K52" i="19"/>
  <c r="B204" i="23"/>
  <c r="D190" i="23"/>
  <c r="D189" i="23"/>
  <c r="D188" i="23"/>
  <c r="D187" i="23"/>
  <c r="D186" i="23"/>
  <c r="D185" i="23"/>
  <c r="D184" i="23"/>
  <c r="I5" i="19" s="1"/>
  <c r="D183" i="23"/>
  <c r="I6" i="19" s="1"/>
  <c r="D182" i="23"/>
  <c r="D181" i="23"/>
  <c r="D180" i="23"/>
  <c r="D179" i="23"/>
  <c r="D178" i="23"/>
  <c r="D177" i="23"/>
  <c r="D176" i="23"/>
  <c r="D175" i="23"/>
  <c r="D174" i="23"/>
  <c r="D173" i="23"/>
  <c r="D172" i="23"/>
  <c r="D171" i="23"/>
  <c r="D170" i="23"/>
  <c r="D169" i="23"/>
  <c r="D168" i="23"/>
  <c r="D167" i="23"/>
  <c r="D166" i="23"/>
  <c r="D165" i="23"/>
  <c r="D164" i="23"/>
  <c r="D163" i="23"/>
  <c r="D162" i="23"/>
  <c r="D161" i="23"/>
  <c r="D160" i="23"/>
  <c r="I9" i="19" s="1"/>
  <c r="D159" i="23"/>
  <c r="D158" i="23"/>
  <c r="D157" i="23"/>
  <c r="D156" i="23"/>
  <c r="D155" i="23"/>
  <c r="D154" i="23"/>
  <c r="D153" i="23"/>
  <c r="D152" i="23"/>
  <c r="D151" i="23"/>
  <c r="D150" i="23"/>
  <c r="D149" i="23"/>
  <c r="D148" i="23"/>
  <c r="D147" i="23"/>
  <c r="D146" i="23"/>
  <c r="D145" i="23"/>
  <c r="D144" i="23"/>
  <c r="D143" i="23"/>
  <c r="D142" i="23"/>
  <c r="D141" i="23"/>
  <c r="D140" i="23"/>
  <c r="D139" i="23"/>
  <c r="D138" i="23"/>
  <c r="D137" i="23"/>
  <c r="D136" i="23"/>
  <c r="D135" i="23"/>
  <c r="D134" i="23"/>
  <c r="D133" i="23"/>
  <c r="D132" i="23"/>
  <c r="D131" i="23"/>
  <c r="D130" i="23"/>
  <c r="D129" i="23"/>
  <c r="D128" i="23"/>
  <c r="D127" i="23"/>
  <c r="D126" i="23"/>
  <c r="D125" i="23"/>
  <c r="D124" i="23"/>
  <c r="D123" i="23"/>
  <c r="D122" i="23"/>
  <c r="D121" i="23"/>
  <c r="D120" i="23"/>
  <c r="D119" i="23"/>
  <c r="D118" i="23"/>
  <c r="D117" i="23"/>
  <c r="D116" i="23"/>
  <c r="D115" i="23"/>
  <c r="D114" i="23"/>
  <c r="D113" i="23"/>
  <c r="D112" i="23"/>
  <c r="D111" i="23"/>
  <c r="D110" i="23"/>
  <c r="D109" i="23"/>
  <c r="D108" i="23"/>
  <c r="D107" i="23"/>
  <c r="D106" i="23"/>
  <c r="D105" i="23"/>
  <c r="D104" i="23"/>
  <c r="D103" i="23"/>
  <c r="D102" i="23"/>
  <c r="D101" i="23"/>
  <c r="D100" i="23"/>
  <c r="D99" i="23"/>
  <c r="D98" i="23"/>
  <c r="D97" i="23"/>
  <c r="D96" i="23"/>
  <c r="D95" i="23"/>
  <c r="D94" i="23"/>
  <c r="D93" i="23"/>
  <c r="D92" i="23"/>
  <c r="D91" i="23"/>
  <c r="D90" i="23"/>
  <c r="D89" i="23"/>
  <c r="D88" i="23"/>
  <c r="D87" i="23"/>
  <c r="D86" i="23"/>
  <c r="D85" i="23"/>
  <c r="D84" i="23"/>
  <c r="D83" i="23"/>
  <c r="D82" i="23"/>
  <c r="D81" i="23"/>
  <c r="D80" i="23"/>
  <c r="D79" i="23"/>
  <c r="D78" i="23"/>
  <c r="D77" i="23"/>
  <c r="D76" i="23"/>
  <c r="D75" i="23"/>
  <c r="D74" i="23"/>
  <c r="D73" i="23"/>
  <c r="D72" i="23"/>
  <c r="D71" i="23"/>
  <c r="D70" i="23"/>
  <c r="D69" i="23"/>
  <c r="D68" i="23"/>
  <c r="D67" i="23"/>
  <c r="D66" i="23"/>
  <c r="D65" i="23"/>
  <c r="D64" i="23"/>
  <c r="D63" i="23"/>
  <c r="D62" i="23"/>
  <c r="D61" i="23"/>
  <c r="D60" i="23"/>
  <c r="D59" i="23"/>
  <c r="D58" i="23"/>
  <c r="D57" i="23"/>
  <c r="D56" i="23"/>
  <c r="D55" i="23"/>
  <c r="D54" i="23"/>
  <c r="D53" i="23"/>
  <c r="D52" i="23"/>
  <c r="D51" i="23"/>
  <c r="D50" i="23"/>
  <c r="D49" i="23"/>
  <c r="D48" i="23"/>
  <c r="D47" i="23"/>
  <c r="D46" i="23"/>
  <c r="D45" i="23"/>
  <c r="D44" i="23"/>
  <c r="D43" i="23"/>
  <c r="D42" i="23"/>
  <c r="D41" i="23"/>
  <c r="D40" i="23"/>
  <c r="D39" i="23"/>
  <c r="D38" i="23"/>
  <c r="D37" i="23"/>
  <c r="D36" i="23"/>
  <c r="D35" i="23"/>
  <c r="D34" i="23"/>
  <c r="D33" i="23"/>
  <c r="D32" i="23"/>
  <c r="D31" i="23"/>
  <c r="D30" i="23"/>
  <c r="I8" i="19" s="1"/>
  <c r="D29" i="23"/>
  <c r="D28" i="23"/>
  <c r="D27" i="23"/>
  <c r="D26" i="23"/>
  <c r="D25" i="23"/>
  <c r="D24" i="23"/>
  <c r="D23" i="23"/>
  <c r="D22" i="23"/>
  <c r="D21" i="23"/>
  <c r="D20" i="23"/>
  <c r="D19" i="23"/>
  <c r="D18" i="23"/>
  <c r="D17" i="23"/>
  <c r="D16" i="23"/>
  <c r="D15" i="23"/>
  <c r="D14" i="23"/>
  <c r="D13" i="23"/>
  <c r="D12" i="23"/>
  <c r="D11" i="23"/>
  <c r="D10" i="23"/>
  <c r="D9" i="23"/>
  <c r="D8" i="23"/>
  <c r="D7" i="23"/>
  <c r="D6" i="23"/>
  <c r="D5" i="23"/>
  <c r="E40" i="24"/>
  <c r="E38" i="24"/>
  <c r="E37" i="24"/>
  <c r="E36" i="24"/>
  <c r="C14" i="24"/>
  <c r="D14" i="24"/>
  <c r="D52" i="20"/>
  <c r="D51" i="20"/>
  <c r="D50" i="20"/>
  <c r="D49" i="20"/>
  <c r="D48" i="20"/>
  <c r="D47" i="20"/>
  <c r="D46" i="20"/>
  <c r="D45" i="20"/>
  <c r="D44" i="20"/>
  <c r="D43" i="20"/>
  <c r="D42" i="20"/>
  <c r="D41" i="20"/>
  <c r="D40" i="20"/>
  <c r="D39" i="20"/>
  <c r="D38" i="20"/>
  <c r="G29" i="19"/>
  <c r="G28" i="19"/>
  <c r="G27" i="19"/>
  <c r="G26" i="19"/>
  <c r="G25" i="19"/>
  <c r="G24" i="19"/>
  <c r="G23" i="19"/>
  <c r="G22" i="19"/>
  <c r="G21" i="19"/>
  <c r="I15" i="19"/>
  <c r="I14" i="19"/>
  <c r="I13" i="19"/>
  <c r="I12" i="19"/>
  <c r="A25" i="29"/>
  <c r="A37" i="29"/>
  <c r="A49" i="29"/>
  <c r="A24" i="29"/>
  <c r="A36" i="29"/>
  <c r="A48" i="29"/>
  <c r="A23" i="29"/>
  <c r="A35" i="29"/>
  <c r="A47" i="29"/>
  <c r="A22" i="29"/>
  <c r="A34" i="29"/>
  <c r="A46" i="29"/>
  <c r="A21" i="29"/>
  <c r="A33" i="29"/>
  <c r="A45" i="29"/>
  <c r="A20" i="29"/>
  <c r="A32" i="29"/>
  <c r="A44" i="29"/>
  <c r="A19" i="29"/>
  <c r="A31" i="29"/>
  <c r="A43" i="29"/>
  <c r="A18" i="29"/>
  <c r="A30" i="29"/>
  <c r="A42" i="29"/>
  <c r="A17" i="29"/>
  <c r="A29" i="29"/>
  <c r="A41" i="29"/>
  <c r="A16" i="29"/>
  <c r="A28" i="29"/>
  <c r="A40" i="29"/>
  <c r="J24" i="11"/>
  <c r="A15" i="29"/>
  <c r="B10" i="13"/>
  <c r="F2" i="29"/>
  <c r="B14" i="24"/>
  <c r="B22" i="13"/>
  <c r="G33" i="28"/>
  <c r="G39" i="28"/>
  <c r="E2" i="24"/>
  <c r="E4" i="24"/>
  <c r="B22" i="18"/>
  <c r="A22" i="18"/>
  <c r="B23" i="18"/>
  <c r="A23" i="18"/>
  <c r="B24" i="18"/>
  <c r="A24" i="18"/>
  <c r="B25" i="18"/>
  <c r="A25" i="18"/>
  <c r="B26" i="18"/>
  <c r="A26" i="18"/>
  <c r="B27" i="18"/>
  <c r="E3" i="24"/>
  <c r="A25" i="25"/>
  <c r="A12" i="25"/>
  <c r="A13" i="25" s="1"/>
  <c r="C24" i="25"/>
  <c r="B29" i="25"/>
  <c r="B30" i="25"/>
  <c r="B31" i="25"/>
  <c r="B32" i="25"/>
  <c r="B33" i="25"/>
  <c r="B34" i="25"/>
  <c r="E5" i="24"/>
  <c r="D48" i="19"/>
  <c r="D50" i="19"/>
  <c r="M6" i="13"/>
  <c r="F11" i="28" s="1"/>
  <c r="D11" i="28" s="1"/>
  <c r="B26" i="13"/>
  <c r="B27" i="13"/>
  <c r="D35" i="28" s="1"/>
  <c r="B28" i="13"/>
  <c r="B32" i="13"/>
  <c r="D38" i="28" s="1"/>
  <c r="C9" i="28"/>
  <c r="A1" i="28"/>
  <c r="F7" i="20"/>
  <c r="I36" i="19"/>
  <c r="J36" i="19" s="1"/>
  <c r="I47" i="19"/>
  <c r="K47" i="19"/>
  <c r="I46" i="19"/>
  <c r="K46" i="19" s="1"/>
  <c r="J46" i="19"/>
  <c r="I45" i="19"/>
  <c r="K45" i="19" s="1"/>
  <c r="I44" i="19"/>
  <c r="K44" i="19" s="1"/>
  <c r="I43" i="19"/>
  <c r="K43" i="19" s="1"/>
  <c r="I42" i="19"/>
  <c r="J42" i="19" s="1"/>
  <c r="I41" i="19"/>
  <c r="J41" i="19" s="1"/>
  <c r="I40" i="19"/>
  <c r="J40" i="19" s="1"/>
  <c r="I39" i="19"/>
  <c r="K39" i="19" s="1"/>
  <c r="I38" i="19"/>
  <c r="J38" i="19" s="1"/>
  <c r="I37" i="19"/>
  <c r="J37" i="19" s="1"/>
  <c r="K27" i="11"/>
  <c r="K26" i="11"/>
  <c r="J27" i="11"/>
  <c r="J26" i="11"/>
  <c r="K25" i="11"/>
  <c r="K22" i="11"/>
  <c r="J22" i="11"/>
  <c r="H48" i="19"/>
  <c r="J25" i="11"/>
  <c r="A27" i="18"/>
  <c r="D9" i="14"/>
  <c r="F14" i="14" s="1"/>
  <c r="D8" i="14"/>
  <c r="F13" i="14" s="1"/>
  <c r="D5" i="14"/>
  <c r="F16" i="14" s="1"/>
  <c r="D4" i="14"/>
  <c r="C17" i="14"/>
  <c r="D3" i="14"/>
  <c r="C14" i="14" s="1"/>
  <c r="C16" i="14" s="1"/>
  <c r="D2" i="14"/>
  <c r="C13" i="14" s="1"/>
  <c r="D7" i="14"/>
  <c r="F15" i="14" s="1"/>
  <c r="F17" i="14"/>
  <c r="I22" i="11"/>
  <c r="C25" i="25"/>
  <c r="J43" i="19"/>
  <c r="J47" i="19"/>
  <c r="K42" i="19"/>
  <c r="K41" i="19"/>
  <c r="H4" i="13"/>
  <c r="D8" i="29" s="1"/>
  <c r="I4" i="13"/>
  <c r="C23" i="28" s="1"/>
  <c r="J4" i="13"/>
  <c r="C24" i="28" s="1"/>
  <c r="K4" i="13"/>
  <c r="C25" i="28" s="1"/>
  <c r="L4" i="13"/>
  <c r="M4" i="13" s="1"/>
  <c r="J32" i="19"/>
  <c r="B23" i="13"/>
  <c r="J16" i="19" l="1"/>
  <c r="K16" i="19" s="1"/>
  <c r="J18" i="19"/>
  <c r="K11" i="19"/>
  <c r="K9" i="19"/>
  <c r="K6" i="19"/>
  <c r="K8" i="19"/>
  <c r="K5" i="19"/>
  <c r="K18" i="19" s="1"/>
  <c r="F18" i="14"/>
  <c r="A14" i="25"/>
  <c r="A27" i="25"/>
  <c r="C27" i="25" s="1"/>
  <c r="D27" i="25" s="1"/>
  <c r="D25" i="25"/>
  <c r="A26" i="25"/>
  <c r="C26" i="25" s="1"/>
  <c r="D26" i="25" s="1"/>
  <c r="E27" i="25"/>
  <c r="F14" i="28"/>
  <c r="D14" i="28" s="1"/>
  <c r="B15" i="19"/>
  <c r="K40" i="19"/>
  <c r="J64" i="19"/>
  <c r="K64" i="19"/>
  <c r="J45" i="19"/>
  <c r="J39" i="19"/>
  <c r="K36" i="19"/>
  <c r="K38" i="19"/>
  <c r="J44" i="19"/>
  <c r="K37" i="19"/>
  <c r="C6" i="13"/>
  <c r="D6" i="13" s="1"/>
  <c r="E6" i="13" s="1"/>
  <c r="F6" i="13" s="1"/>
  <c r="G6" i="13" s="1"/>
  <c r="H6" i="13" s="1"/>
  <c r="I6" i="13" s="1"/>
  <c r="J6" i="13" s="1"/>
  <c r="K6" i="13" s="1"/>
  <c r="L6" i="13" s="1"/>
  <c r="E25" i="25"/>
  <c r="B9" i="28"/>
  <c r="E26" i="25"/>
  <c r="G4" i="13"/>
  <c r="D7" i="29" s="1"/>
  <c r="C17" i="28"/>
  <c r="F4" i="13"/>
  <c r="C20" i="28" s="1"/>
  <c r="E4" i="13"/>
  <c r="C19" i="28" s="1"/>
  <c r="D4" i="13"/>
  <c r="D4" i="29" s="1"/>
  <c r="D6" i="29"/>
  <c r="C3" i="13"/>
  <c r="C5" i="13" s="1"/>
  <c r="D9" i="29"/>
  <c r="K32" i="19"/>
  <c r="J2" i="13"/>
  <c r="K2" i="13"/>
  <c r="H2" i="13"/>
  <c r="L2" i="13"/>
  <c r="I2" i="13"/>
  <c r="C3" i="29"/>
  <c r="B48" i="19"/>
  <c r="C26" i="28"/>
  <c r="C22" i="28"/>
  <c r="C27" i="28"/>
  <c r="F10" i="28"/>
  <c r="D10" i="28" s="1"/>
  <c r="D10" i="29"/>
  <c r="D11" i="29"/>
  <c r="D12" i="29"/>
  <c r="A15" i="25" l="1"/>
  <c r="A28" i="25"/>
  <c r="C21" i="28"/>
  <c r="J48" i="19"/>
  <c r="K48" i="19"/>
  <c r="D5" i="29"/>
  <c r="C18" i="28"/>
  <c r="B3" i="29"/>
  <c r="C16" i="29" s="1"/>
  <c r="D3" i="13"/>
  <c r="E3" i="13" s="1"/>
  <c r="B17" i="28"/>
  <c r="D17" i="28" s="1"/>
  <c r="C7" i="13"/>
  <c r="C10" i="13"/>
  <c r="C28" i="25" l="1"/>
  <c r="D28" i="25" s="1"/>
  <c r="E28" i="25"/>
  <c r="A16" i="25"/>
  <c r="A29" i="25"/>
  <c r="B18" i="28"/>
  <c r="D18" i="28" s="1"/>
  <c r="E3" i="29"/>
  <c r="B4" i="29"/>
  <c r="D5" i="13"/>
  <c r="D7" i="13" s="1"/>
  <c r="B19" i="28"/>
  <c r="D19" i="28" s="1"/>
  <c r="B5" i="29"/>
  <c r="E5" i="13"/>
  <c r="F3" i="13"/>
  <c r="F3" i="29"/>
  <c r="E17" i="28"/>
  <c r="H3" i="29"/>
  <c r="B16" i="29" s="1"/>
  <c r="C29" i="25" l="1"/>
  <c r="D29" i="25" s="1"/>
  <c r="E29" i="25"/>
  <c r="A30" i="25"/>
  <c r="A17" i="25"/>
  <c r="D10" i="13"/>
  <c r="F4" i="29" s="1"/>
  <c r="E4" i="29"/>
  <c r="C4" i="29"/>
  <c r="C17" i="29"/>
  <c r="E5" i="29"/>
  <c r="C18" i="29"/>
  <c r="C5" i="29"/>
  <c r="B6" i="29"/>
  <c r="G3" i="13"/>
  <c r="F5" i="13"/>
  <c r="B20" i="28"/>
  <c r="D20" i="28" s="1"/>
  <c r="E18" i="28"/>
  <c r="H4" i="29"/>
  <c r="G3" i="29"/>
  <c r="A31" i="25" l="1"/>
  <c r="A18" i="25"/>
  <c r="C30" i="25"/>
  <c r="D30" i="25" s="1"/>
  <c r="E30" i="25"/>
  <c r="E7" i="13"/>
  <c r="H5" i="29" s="1"/>
  <c r="E10" i="13"/>
  <c r="F10" i="13" s="1"/>
  <c r="H3" i="13"/>
  <c r="B7" i="29"/>
  <c r="B21" i="28"/>
  <c r="D21" i="28" s="1"/>
  <c r="G5" i="13"/>
  <c r="C19" i="29"/>
  <c r="E6" i="29"/>
  <c r="C6" i="29"/>
  <c r="B17" i="29"/>
  <c r="G4" i="29"/>
  <c r="A19" i="25" l="1"/>
  <c r="A32" i="25"/>
  <c r="E31" i="25"/>
  <c r="C31" i="25"/>
  <c r="D31" i="25" s="1"/>
  <c r="F7" i="13"/>
  <c r="H6" i="29" s="1"/>
  <c r="F5" i="29"/>
  <c r="E19" i="28"/>
  <c r="E7" i="29"/>
  <c r="C7" i="29"/>
  <c r="C20" i="29"/>
  <c r="B22" i="28"/>
  <c r="D22" i="28" s="1"/>
  <c r="B8" i="29"/>
  <c r="I3" i="13"/>
  <c r="H5" i="13"/>
  <c r="F6" i="29"/>
  <c r="G7" i="13"/>
  <c r="G10" i="13"/>
  <c r="B18" i="29"/>
  <c r="G5" i="29"/>
  <c r="C32" i="25" l="1"/>
  <c r="D32" i="25" s="1"/>
  <c r="E32" i="25"/>
  <c r="A20" i="25"/>
  <c r="A34" i="25" s="1"/>
  <c r="A33" i="25"/>
  <c r="E20" i="28"/>
  <c r="B9" i="29"/>
  <c r="J3" i="13"/>
  <c r="I5" i="13"/>
  <c r="B23" i="28"/>
  <c r="D23" i="28" s="1"/>
  <c r="C8" i="29"/>
  <c r="E8" i="29"/>
  <c r="C21" i="29"/>
  <c r="B19" i="29"/>
  <c r="G6" i="29"/>
  <c r="F7" i="29"/>
  <c r="H10" i="13"/>
  <c r="H7" i="13"/>
  <c r="E21" i="28"/>
  <c r="H7" i="29"/>
  <c r="E33" i="25" l="1"/>
  <c r="C33" i="25"/>
  <c r="D33" i="25" s="1"/>
  <c r="C34" i="25"/>
  <c r="D34" i="25" s="1"/>
  <c r="D35" i="25" s="1"/>
  <c r="E34" i="25"/>
  <c r="E35" i="25" s="1"/>
  <c r="D37" i="25" s="1"/>
  <c r="D39" i="25" s="1"/>
  <c r="D40" i="25" s="1"/>
  <c r="J5" i="13"/>
  <c r="K3" i="13"/>
  <c r="B10" i="29"/>
  <c r="B24" i="28"/>
  <c r="D24" i="28" s="1"/>
  <c r="C9" i="29"/>
  <c r="E9" i="29"/>
  <c r="C22" i="29"/>
  <c r="F8" i="29"/>
  <c r="I7" i="13"/>
  <c r="I10" i="13"/>
  <c r="H8" i="29"/>
  <c r="E22" i="28"/>
  <c r="B20" i="29"/>
  <c r="G7" i="29"/>
  <c r="C10" i="29" l="1"/>
  <c r="C23" i="29"/>
  <c r="E10" i="29"/>
  <c r="K5" i="13"/>
  <c r="L3" i="13"/>
  <c r="B11" i="29"/>
  <c r="B25" i="28"/>
  <c r="D25" i="28" s="1"/>
  <c r="E23" i="28"/>
  <c r="H9" i="29"/>
  <c r="B21" i="29"/>
  <c r="G8" i="29"/>
  <c r="F9" i="29"/>
  <c r="J10" i="13"/>
  <c r="J7" i="13"/>
  <c r="B26" i="28" l="1"/>
  <c r="D26" i="28" s="1"/>
  <c r="B12" i="29"/>
  <c r="L5" i="13"/>
  <c r="M3" i="13"/>
  <c r="C11" i="29"/>
  <c r="C24" i="29"/>
  <c r="E11" i="29"/>
  <c r="B22" i="29"/>
  <c r="G9" i="29"/>
  <c r="E24" i="28"/>
  <c r="H10" i="29"/>
  <c r="F10" i="29"/>
  <c r="K7" i="13"/>
  <c r="K10" i="13"/>
  <c r="J30" i="11" l="1"/>
  <c r="M5" i="13"/>
  <c r="B27" i="28"/>
  <c r="D27" i="28" s="1"/>
  <c r="C12" i="29"/>
  <c r="C25" i="29"/>
  <c r="E12" i="29"/>
  <c r="B23" i="29"/>
  <c r="G10" i="29"/>
  <c r="F11" i="29"/>
  <c r="L7" i="13"/>
  <c r="L10" i="13"/>
  <c r="H11" i="29"/>
  <c r="E25" i="28"/>
  <c r="J31" i="11" l="1"/>
  <c r="M7" i="13"/>
  <c r="F12" i="29"/>
  <c r="M10" i="13"/>
  <c r="B24" i="29"/>
  <c r="G11" i="29"/>
  <c r="H12" i="29"/>
  <c r="E26" i="28"/>
  <c r="E27" i="28" l="1"/>
  <c r="B25" i="29"/>
  <c r="G12" i="29"/>
  <c r="B25" i="19" l="1"/>
  <c r="C41" i="19" s="1"/>
  <c r="C50" i="19" l="1"/>
  <c r="C15" i="18"/>
  <c r="C42" i="19"/>
  <c r="C44" i="19" s="1"/>
  <c r="C22" i="18" l="1"/>
  <c r="C23" i="18"/>
  <c r="C24" i="18"/>
  <c r="C25" i="18"/>
  <c r="C26" i="18"/>
  <c r="C27" i="18"/>
  <c r="C28" i="18" l="1"/>
  <c r="F6" i="20" l="1"/>
  <c r="F34" i="18"/>
  <c r="F31" i="18"/>
  <c r="F32" i="18" s="1"/>
  <c r="F33" i="18"/>
  <c r="B25" i="13"/>
  <c r="D34" i="28" s="1"/>
  <c r="F5" i="20" l="1"/>
  <c r="D9" i="20" s="1"/>
  <c r="B5" i="13"/>
  <c r="B33" i="19"/>
  <c r="C43" i="19" s="1"/>
  <c r="C48" i="19" s="1"/>
  <c r="B39" i="13"/>
  <c r="I24" i="11" l="1"/>
  <c r="B28" i="11" s="1"/>
  <c r="G15" i="29"/>
  <c r="B2" i="12"/>
  <c r="D11" i="20"/>
  <c r="D13" i="20" s="1"/>
  <c r="D10" i="20"/>
  <c r="E48" i="19"/>
  <c r="C49" i="19" s="1"/>
  <c r="C45" i="19"/>
  <c r="B50" i="19" s="1"/>
  <c r="N5" i="13"/>
  <c r="B7" i="13"/>
  <c r="B5" i="12"/>
  <c r="B4" i="13"/>
  <c r="I23" i="11" s="1"/>
  <c r="B40" i="13" l="1"/>
  <c r="B13" i="28" s="1"/>
  <c r="H2" i="29"/>
  <c r="B15" i="29" s="1"/>
  <c r="H15" i="29" s="1"/>
  <c r="I25" i="11"/>
  <c r="B49" i="19"/>
  <c r="D49" i="19"/>
  <c r="B10" i="28"/>
  <c r="C10" i="28" s="1"/>
  <c r="D2" i="29"/>
  <c r="E2" i="29" s="1"/>
  <c r="C38" i="13"/>
  <c r="D12" i="28"/>
  <c r="G2" i="29" l="1"/>
  <c r="C8" i="13"/>
  <c r="D16" i="29"/>
  <c r="E16" i="29" s="1"/>
  <c r="D38" i="13"/>
  <c r="E49" i="19"/>
  <c r="E50" i="19"/>
  <c r="C12" i="13" s="1"/>
  <c r="D8" i="13" l="1"/>
  <c r="E38" i="13"/>
  <c r="D17" i="29"/>
  <c r="E17" i="29" s="1"/>
  <c r="F17" i="29" s="1"/>
  <c r="D41" i="29" s="1"/>
  <c r="H28" i="29"/>
  <c r="B40" i="29" s="1"/>
  <c r="C40" i="29" s="1"/>
  <c r="C14" i="28"/>
  <c r="C13" i="13"/>
  <c r="D12" i="13"/>
  <c r="F16" i="29"/>
  <c r="D40" i="29" s="1"/>
  <c r="G16" i="29"/>
  <c r="C9" i="13"/>
  <c r="F17" i="28"/>
  <c r="G17" i="28" s="1"/>
  <c r="C39" i="13"/>
  <c r="C14" i="13" l="1"/>
  <c r="F40" i="29"/>
  <c r="C40" i="13"/>
  <c r="D39" i="13"/>
  <c r="H29" i="29"/>
  <c r="B41" i="29" s="1"/>
  <c r="C41" i="29" s="1"/>
  <c r="E12" i="13"/>
  <c r="H16" i="29"/>
  <c r="G17" i="29"/>
  <c r="D13" i="13"/>
  <c r="D18" i="29"/>
  <c r="E18" i="29" s="1"/>
  <c r="F18" i="29" s="1"/>
  <c r="D42" i="29" s="1"/>
  <c r="E8" i="13"/>
  <c r="F38" i="13"/>
  <c r="F18" i="28"/>
  <c r="G18" i="28" s="1"/>
  <c r="D9" i="13"/>
  <c r="D14" i="13" l="1"/>
  <c r="E13" i="13"/>
  <c r="G38" i="13"/>
  <c r="F8" i="13"/>
  <c r="D19" i="29"/>
  <c r="E19" i="29" s="1"/>
  <c r="F19" i="29" s="1"/>
  <c r="D43" i="29" s="1"/>
  <c r="F41" i="29"/>
  <c r="F12" i="13"/>
  <c r="F13" i="13" s="1"/>
  <c r="H30" i="29"/>
  <c r="B42" i="29" s="1"/>
  <c r="C42" i="29" s="1"/>
  <c r="F19" i="28"/>
  <c r="G19" i="28" s="1"/>
  <c r="E9" i="13"/>
  <c r="E14" i="13" s="1"/>
  <c r="G18" i="29"/>
  <c r="H17" i="29"/>
  <c r="D40" i="13"/>
  <c r="E39" i="13"/>
  <c r="F42" i="29" l="1"/>
  <c r="G19" i="29"/>
  <c r="H18" i="29"/>
  <c r="H31" i="29"/>
  <c r="B43" i="29" s="1"/>
  <c r="C43" i="29" s="1"/>
  <c r="G12" i="13"/>
  <c r="G13" i="13" s="1"/>
  <c r="G8" i="13"/>
  <c r="D20" i="29"/>
  <c r="E20" i="29" s="1"/>
  <c r="F20" i="29" s="1"/>
  <c r="D44" i="29" s="1"/>
  <c r="H38" i="13"/>
  <c r="F9" i="13"/>
  <c r="F14" i="13" s="1"/>
  <c r="F20" i="28"/>
  <c r="G20" i="28" s="1"/>
  <c r="E40" i="13"/>
  <c r="F39" i="13"/>
  <c r="F43" i="29" l="1"/>
  <c r="D21" i="29"/>
  <c r="E21" i="29" s="1"/>
  <c r="F21" i="29" s="1"/>
  <c r="D45" i="29" s="1"/>
  <c r="H8" i="13"/>
  <c r="I38" i="13"/>
  <c r="H32" i="29"/>
  <c r="B44" i="29" s="1"/>
  <c r="C44" i="29" s="1"/>
  <c r="H12" i="13"/>
  <c r="G9" i="13"/>
  <c r="G14" i="13" s="1"/>
  <c r="F21" i="28"/>
  <c r="G21" i="28" s="1"/>
  <c r="H19" i="29"/>
  <c r="G20" i="29"/>
  <c r="F40" i="13"/>
  <c r="G39" i="13"/>
  <c r="F44" i="29" l="1"/>
  <c r="H39" i="13"/>
  <c r="G40" i="13"/>
  <c r="H33" i="29"/>
  <c r="B45" i="29" s="1"/>
  <c r="C45" i="29" s="1"/>
  <c r="I12" i="13"/>
  <c r="G21" i="29"/>
  <c r="H20" i="29"/>
  <c r="H13" i="13"/>
  <c r="J38" i="13"/>
  <c r="D22" i="29"/>
  <c r="E22" i="29" s="1"/>
  <c r="F22" i="29" s="1"/>
  <c r="D46" i="29" s="1"/>
  <c r="I8" i="13"/>
  <c r="F22" i="28"/>
  <c r="G22" i="28" s="1"/>
  <c r="H9" i="13"/>
  <c r="H14" i="13" l="1"/>
  <c r="I13" i="13"/>
  <c r="F45" i="29"/>
  <c r="K38" i="13"/>
  <c r="D23" i="29"/>
  <c r="E23" i="29" s="1"/>
  <c r="F23" i="29" s="1"/>
  <c r="D47" i="29" s="1"/>
  <c r="J8" i="13"/>
  <c r="H21" i="29"/>
  <c r="G22" i="29"/>
  <c r="F23" i="28"/>
  <c r="G23" i="28" s="1"/>
  <c r="I9" i="13"/>
  <c r="H34" i="29"/>
  <c r="B46" i="29" s="1"/>
  <c r="C46" i="29" s="1"/>
  <c r="J12" i="13"/>
  <c r="I39" i="13"/>
  <c r="H40" i="13"/>
  <c r="I14" i="13" l="1"/>
  <c r="F46" i="29"/>
  <c r="H35" i="29"/>
  <c r="B47" i="29" s="1"/>
  <c r="C47" i="29" s="1"/>
  <c r="K12" i="13"/>
  <c r="J13" i="13"/>
  <c r="H22" i="29"/>
  <c r="G23" i="29"/>
  <c r="K8" i="13"/>
  <c r="D24" i="29"/>
  <c r="E24" i="29" s="1"/>
  <c r="F24" i="29" s="1"/>
  <c r="D48" i="29" s="1"/>
  <c r="L38" i="13"/>
  <c r="I40" i="13"/>
  <c r="J39" i="13"/>
  <c r="J9" i="13"/>
  <c r="F24" i="28"/>
  <c r="G24" i="28" s="1"/>
  <c r="J14" i="13" l="1"/>
  <c r="F47" i="29"/>
  <c r="D25" i="29"/>
  <c r="E25" i="29" s="1"/>
  <c r="F25" i="29" s="1"/>
  <c r="D49" i="29" s="1"/>
  <c r="L8" i="13"/>
  <c r="K39" i="13"/>
  <c r="J40" i="13"/>
  <c r="K9" i="13"/>
  <c r="F25" i="28"/>
  <c r="G25" i="28" s="1"/>
  <c r="H36" i="29"/>
  <c r="B48" i="29" s="1"/>
  <c r="C48" i="29" s="1"/>
  <c r="L12" i="13"/>
  <c r="H23" i="29"/>
  <c r="G24" i="29"/>
  <c r="K13" i="13"/>
  <c r="H37" i="29" l="1"/>
  <c r="B49" i="29" s="1"/>
  <c r="M40" i="13"/>
  <c r="L13" i="13"/>
  <c r="B8" i="12" s="1"/>
  <c r="C49" i="29"/>
  <c r="F48" i="29"/>
  <c r="L39" i="13"/>
  <c r="K40" i="13"/>
  <c r="H24" i="29"/>
  <c r="G25" i="29"/>
  <c r="H25" i="29" s="1"/>
  <c r="K14" i="13"/>
  <c r="L9" i="13"/>
  <c r="F26" i="28"/>
  <c r="G26" i="28" s="1"/>
  <c r="L14" i="13" l="1"/>
  <c r="F13" i="28"/>
  <c r="F12" i="28"/>
  <c r="M8" i="13"/>
  <c r="B20" i="13"/>
  <c r="D31" i="28" s="1"/>
  <c r="L40" i="13"/>
  <c r="B3" i="12"/>
  <c r="B4" i="12" s="1"/>
  <c r="B6" i="12" s="1"/>
  <c r="D13" i="28" s="1"/>
  <c r="F27" i="28" l="1"/>
  <c r="G27" i="28" s="1"/>
  <c r="M9" i="13"/>
  <c r="B16" i="13" s="1"/>
  <c r="B18" i="13" s="1"/>
  <c r="N8" i="13"/>
  <c r="B7" i="12"/>
  <c r="J32" i="11"/>
  <c r="D29" i="28" l="1"/>
  <c r="E49" i="29"/>
  <c r="F49" i="29" s="1"/>
  <c r="F50" i="29" s="1"/>
  <c r="B19" i="13"/>
  <c r="D30" i="28" l="1"/>
  <c r="B21" i="13"/>
  <c r="D32" i="28" l="1"/>
  <c r="B24" i="13"/>
  <c r="B29" i="13" s="1"/>
  <c r="D33" i="28" l="1"/>
  <c r="D36" i="28" s="1"/>
  <c r="B30" i="13"/>
  <c r="D37" i="28" s="1"/>
  <c r="D39" i="28" l="1"/>
  <c r="B31" i="13"/>
  <c r="B33" i="13" s="1"/>
  <c r="B9" i="12" l="1"/>
  <c r="B10" i="12" s="1"/>
  <c r="B35" i="13"/>
  <c r="D27" i="14"/>
  <c r="B21" i="14"/>
  <c r="C26" i="14"/>
  <c r="C15" i="14"/>
  <c r="B20" i="14"/>
  <c r="B23" i="14"/>
  <c r="B2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charset val="1"/>
          </rPr>
          <t>Aswath Damodaran:</t>
        </r>
        <r>
          <rPr>
            <sz val="9"/>
            <color rgb="FF000000"/>
            <rFont val="Geneva"/>
            <family val="2"/>
            <charset val="1"/>
          </rPr>
          <t xml:space="preserve">
</t>
        </r>
        <r>
          <rPr>
            <sz val="9"/>
            <color rgb="FF000000"/>
            <rFont val="Geneva"/>
            <family val="2"/>
            <charset val="1"/>
          </rPr>
          <t>If you pick operating regions or countries, please input the revenues by country or region in the table to the right.</t>
        </r>
      </text>
    </comment>
    <comment ref="B15" authorId="0" shapeId="0" xr:uid="{00000000-0006-0000-0800-000003000000}">
      <text>
        <r>
          <rPr>
            <b/>
            <sz val="9"/>
            <color rgb="FF000000"/>
            <rFont val="Geneva"/>
            <family val="2"/>
            <charset val="1"/>
          </rPr>
          <t>Aswath Damodaran:</t>
        </r>
        <r>
          <rPr>
            <sz val="9"/>
            <color rgb="FF000000"/>
            <rFont val="Geneva"/>
            <family val="2"/>
            <charset val="1"/>
          </rPr>
          <t xml:space="preserve">
</t>
        </r>
        <r>
          <rPr>
            <sz val="9"/>
            <color rgb="FF000000"/>
            <rFont val="Geneva"/>
            <family val="2"/>
            <charset val="1"/>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charset val="1"/>
          </rPr>
          <t>Aswath Damodaran:</t>
        </r>
        <r>
          <rPr>
            <sz val="9"/>
            <color rgb="FF000000"/>
            <rFont val="Geneva"/>
            <family val="2"/>
            <charset val="1"/>
          </rPr>
          <t xml:space="preserve">
</t>
        </r>
        <r>
          <rPr>
            <sz val="9"/>
            <color rgb="FF000000"/>
            <rFont val="Geneva"/>
            <family val="2"/>
            <charset val="1"/>
          </rPr>
          <t xml:space="preserve">1: Large market cap (&gt;$5 billion) and safe.
</t>
        </r>
        <r>
          <rPr>
            <sz val="9"/>
            <color rgb="FF000000"/>
            <rFont val="Geneva"/>
            <family val="2"/>
            <charset val="1"/>
          </rPr>
          <t xml:space="preserve">2: Small market cap (&lt;$5 billion) or risky.
</t>
        </r>
        <r>
          <rPr>
            <sz val="9"/>
            <color rgb="FF000000"/>
            <rFont val="Geneva"/>
            <family val="2"/>
            <charset val="1"/>
          </rPr>
          <t>If company has volatile earnings or is in risky business, use 2, even if large market cap.</t>
        </r>
      </text>
    </comment>
    <comment ref="B25" authorId="0" shapeId="0" xr:uid="{00000000-0006-0000-0800-000007000000}">
      <text>
        <r>
          <rPr>
            <b/>
            <sz val="9"/>
            <color rgb="FF000000"/>
            <rFont val="Geneva"/>
            <family val="2"/>
            <charset val="1"/>
          </rPr>
          <t>Aswath Damodaran:</t>
        </r>
        <r>
          <rPr>
            <sz val="9"/>
            <color rgb="FF000000"/>
            <rFont val="Geneva"/>
            <family val="2"/>
            <charset val="1"/>
          </rPr>
          <t xml:space="preserve">
</t>
        </r>
        <r>
          <rPr>
            <sz val="9"/>
            <color rgb="FF000000"/>
            <rFont val="Geneva"/>
            <family val="2"/>
            <charset val="1"/>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rgb="FF000000"/>
            <rFont val="Geneva"/>
            <family val="2"/>
          </rPr>
          <t>Aswath Damodaran:</t>
        </r>
        <r>
          <rPr>
            <sz val="9"/>
            <color rgb="FF000000"/>
            <rFont val="Geneva"/>
            <family val="2"/>
          </rPr>
          <t xml:space="preserve">
</t>
        </r>
        <r>
          <rPr>
            <sz val="9"/>
            <color rgb="FF000000"/>
            <rFont val="Geneva"/>
            <family val="2"/>
          </rPr>
          <t xml:space="preserve">If your most recent year's operating income is unusually low or high, you can use the average operating income from the last few years. </t>
        </r>
      </text>
    </comment>
    <comment ref="F6" authorId="0" shapeId="0" xr:uid="{00000000-0006-0000-0B00-000002000000}">
      <text>
        <r>
          <rPr>
            <b/>
            <sz val="9"/>
            <color rgb="FF000000"/>
            <rFont val="Geneva"/>
            <family val="2"/>
          </rPr>
          <t>Aswath Damodaran:</t>
        </r>
        <r>
          <rPr>
            <sz val="9"/>
            <color rgb="FF000000"/>
            <rFont val="Geneva"/>
            <family val="2"/>
          </rPr>
          <t xml:space="preserve">
</t>
        </r>
        <r>
          <rPr>
            <sz val="9"/>
            <color rgb="FF000000"/>
            <rFont val="Geneva"/>
            <family val="2"/>
          </rPr>
          <t>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<sst xmlns="http://schemas.openxmlformats.org/spreadsheetml/2006/main" count="1281" uniqueCount="774">
  <si>
    <t>If calculated value is negative or looks too low</t>
    <phoneticPr fontId="7" type="noConversion"/>
  </si>
  <si>
    <t>If calculated value looks too high</t>
    <phoneticPr fontId="7" type="noConversion"/>
  </si>
  <si>
    <t>Increase revenue growth rate</t>
    <phoneticPr fontId="7" type="noConversion"/>
  </si>
  <si>
    <t>Decrease revenue growth rate</t>
    <phoneticPr fontId="7" type="noConversion"/>
  </si>
  <si>
    <t>Marginal ROIC over 10 years</t>
    <phoneticPr fontId="7" type="noConversion"/>
  </si>
  <si>
    <t>ROIC at end of valuation</t>
    <phoneticPr fontId="7" type="noConversion"/>
  </si>
  <si>
    <t>Inputs</t>
  </si>
  <si>
    <t>Invested capital at start of valuation</t>
    <phoneticPr fontId="7" type="noConversion"/>
  </si>
  <si>
    <t>Invested capital at end of valuation</t>
    <phoneticPr fontId="7" type="noConversion"/>
  </si>
  <si>
    <t>Change in invested capital over 10 years</t>
    <phoneticPr fontId="7" type="noConversion"/>
  </si>
  <si>
    <t>Change in EBIT*(1–t) (after-tax operating income) over 10 years</t>
    <phoneticPr fontId="7" type="noConversion"/>
  </si>
  <si>
    <t>Revenues</t>
  </si>
  <si>
    <t>EBIT(1-t)</t>
  </si>
  <si>
    <t>Number of shares</t>
    <phoneticPr fontId="6" type="noConversion"/>
  </si>
  <si>
    <t>Base year</t>
    <phoneticPr fontId="6" type="noConversion"/>
  </si>
  <si>
    <t xml:space="preserve"> - Reinvestment</t>
    <phoneticPr fontId="6" type="noConversion"/>
  </si>
  <si>
    <t>FCFF</t>
  </si>
  <si>
    <t>Implied variables</t>
    <phoneticPr fontId="6" type="noConversion"/>
  </si>
  <si>
    <t>Invested capital</t>
    <phoneticPr fontId="6" type="noConversion"/>
  </si>
  <si>
    <t>ROIC</t>
    <phoneticPr fontId="6" type="noConversion"/>
  </si>
  <si>
    <t>Revenue growth rate</t>
    <phoneticPr fontId="6" type="noConversion"/>
  </si>
  <si>
    <t>PV(FCFF)</t>
    <phoneticPr fontId="6" type="noConversion"/>
  </si>
  <si>
    <t>Terminal cash flow</t>
    <phoneticPr fontId="6" type="noConversion"/>
  </si>
  <si>
    <t>Terminal value</t>
    <phoneticPr fontId="6" type="noConversion"/>
  </si>
  <si>
    <t>PV(Terminal value)</t>
    <phoneticPr fontId="6" type="noConversion"/>
  </si>
  <si>
    <t>EBIT (Operating income)</t>
    <phoneticPr fontId="6" type="noConversion"/>
  </si>
  <si>
    <t>EBIT (Operating) margin</t>
    <phoneticPr fontId="6" type="noConversion"/>
  </si>
  <si>
    <t>Riskfree rate</t>
    <phoneticPr fontId="7" type="noConversion"/>
  </si>
  <si>
    <t>Your calculated value as a percent of current price</t>
    <phoneticPr fontId="7"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</si>
  <si>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</si>
  <si>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</si>
  <si>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</si>
  <si>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</si>
  <si>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</si>
  <si>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</si>
  <si>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</si>
  <si>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</si>
  <si>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</si>
  <si>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</si>
  <si>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</si>
  <si>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</si>
  <si>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</si>
  <si>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</si>
  <si>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</si>
  <si>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</si>
  <si>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</si>
  <si>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</si>
  <si>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</si>
  <si>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</si>
  <si>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</si>
  <si>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</si>
  <si>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</si>
  <si>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</si>
  <si>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</si>
  <si>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</si>
  <si>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</si>
  <si>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</si>
  <si>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</si>
  <si>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</si>
  <si>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</si>
  <si>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</si>
  <si>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</si>
  <si>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</si>
  <si>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</si>
  <si>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</si>
  <si>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</si>
  <si>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</si>
  <si>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</si>
  <si>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</si>
  <si>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</si>
  <si>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</si>
  <si>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</si>
  <si>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</si>
  <si>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</si>
  <si>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</si>
  <si>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</si>
  <si>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</si>
  <si>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</si>
  <si>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</si>
  <si>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</si>
  <si>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</si>
  <si>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</si>
  <si>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</si>
  <si>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</si>
  <si>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</si>
  <si>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</si>
  <si>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</si>
  <si>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</si>
  <si>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</si>
  <si>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</si>
  <si>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</si>
  <si>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</si>
  <si>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</si>
  <si>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</si>
  <si>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</si>
  <si>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</si>
  <si>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</si>
  <si>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</si>
  <si>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</si>
  <si>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</si>
  <si>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</si>
  <si>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</si>
  <si>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</si>
  <si>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</si>
  <si>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</si>
  <si>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</si>
  <si>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</si>
  <si>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</si>
  <si>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</si>
  <si>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</si>
  <si>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</si>
  <si>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</si>
  <si>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</si>
  <si>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</si>
  <si>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</si>
  <si>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</si>
  <si>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</si>
  <si>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</si>
  <si>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</si>
  <si>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</si>
  <si>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</si>
  <si>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</si>
  <si>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</si>
  <si>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</si>
  <si>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</si>
  <si>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</si>
  <si>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</si>
  <si>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</si>
  <si>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</si>
  <si>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</si>
  <si>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</si>
  <si>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</si>
  <si>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</si>
  <si>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</si>
  <si>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</si>
  <si>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</si>
  <si>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</si>
  <si>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</si>
  <si>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</si>
  <si>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</si>
  <si>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</si>
  <si>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</si>
  <si>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</si>
  <si>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</si>
  <si>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</si>
  <si>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</si>
  <si>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</si>
  <si>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</si>
  <si>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</si>
  <si>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</si>
  <si>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</si>
  <si>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</si>
  <si>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</si>
  <si>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</si>
  <si>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</si>
  <si>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</si>
  <si>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</si>
  <si>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</si>
  <si>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</si>
  <si>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</si>
  <si>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</si>
  <si>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</si>
  <si>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</si>
  <si>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</si>
  <si>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</si>
  <si>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</si>
  <si>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</si>
  <si>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</si>
  <si>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</si>
  <si>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</si>
  <si>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</si>
  <si>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</si>
  <si>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</si>
  <si>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</si>
  <si>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</si>
  <si>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</si>
  <si>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</si>
  <si>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</si>
  <si>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</si>
  <si>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</si>
  <si>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</si>
  <si>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</si>
  <si>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</si>
  <si>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</si>
  <si>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</si>
  <si>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</si>
  <si>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</si>
  <si>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</si>
  <si>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</si>
  <si>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</si>
  <si>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</si>
  <si>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</si>
  <si>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</si>
  <si>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</si>
  <si>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</si>
  <si>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</si>
  <si>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</si>
  <si>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</si>
  <si>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</si>
  <si>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</si>
  <si>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</si>
  <si>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</si>
  <si>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</si>
  <si>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</si>
  <si>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</si>
  <si>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</si>
  <si>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</si>
  <si>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</si>
  <si>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</si>
  <si>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</si>
  <si>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</si>
  <si>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</si>
  <si>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</si>
  <si>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</si>
  <si>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</si>
  <si>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</si>
  <si>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</si>
  <si>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</si>
  <si>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</si>
  <si>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</si>
  <si>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</si>
  <si>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</si>
  <si>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</si>
  <si>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</si>
  <si>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</si>
  <si>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10"/>
  </si>
  <si>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</si>
  <si>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</si>
  <si>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</si>
  <si>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</si>
  <si>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</si>
  <si>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</si>
  <si>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</si>
  <si>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</si>
  <si>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</si>
  <si>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</si>
  <si>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</si>
  <si>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</si>
  <si>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</si>
  <si>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</si>
  <si>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</si>
  <si>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</si>
  <si>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</si>
  <si>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</si>
  <si>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</si>
  <si>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</si>
  <si>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</si>
  <si>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</si>
  <si>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</si>
  <si>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</si>
  <si>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</si>
  <si>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</si>
  <si>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</si>
  <si>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</si>
  <si>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</si>
  <si>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</si>
  <si>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</si>
  <si>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</si>
  <si>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</si>
  <si>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</si>
  <si>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</si>
  <si>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</si>
  <si>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</si>
  <si>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</si>
  <si>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</si>
  <si>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</si>
  <si>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</si>
  <si>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</si>
  <si>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</si>
  <si>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</si>
  <si>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</si>
  <si>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</si>
  <si>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</si>
  <si>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</si>
  <si>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</si>
  <si>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</si>
  <si>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</si>
  <si>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</si>
  <si>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</si>
  <si>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</si>
  <si>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</si>
  <si>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</si>
  <si>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</si>
  <si>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</si>
  <si>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</si>
  <si>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</si>
  <si>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</si>
  <si>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</si>
  <si>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</si>
  <si>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</si>
  <si>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</si>
  <si>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</si>
  <si>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</si>
  <si>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</si>
  <si>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</si>
  <si>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</si>
  <si>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</si>
  <si>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</si>
  <si>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</si>
  <si>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</si>
  <si>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</si>
  <si>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</si>
  <si>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</si>
  <si>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</si>
  <si>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</si>
  <si>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</si>
  <si>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</si>
  <si>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</si>
  <si>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</si>
  <si>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</si>
  <si>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</si>
  <si>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</si>
  <si>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</si>
  <si>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</si>
  <si>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</si>
  <si>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</si>
  <si>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</si>
  <si>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</si>
  <si>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</si>
  <si>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</si>
  <si>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</si>
  <si>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</si>
  <si>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</si>
  <si>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</si>
  <si>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</si>
  <si>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</si>
  <si>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</si>
  <si>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</si>
  <si>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</si>
  <si>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</si>
  <si>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</si>
  <si>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</si>
  <si>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</si>
  <si>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</si>
  <si>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</si>
  <si>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</si>
  <si>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</si>
  <si>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</si>
  <si>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</si>
  <si>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</si>
  <si>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</si>
  <si>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</si>
  <si>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</si>
  <si>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</si>
  <si>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</si>
  <si>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</si>
  <si>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</si>
  <si>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</si>
  <si>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</si>
  <si>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</si>
  <si>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</si>
  <si>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</si>
  <si>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</si>
  <si>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</si>
  <si>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</si>
  <si>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</si>
  <si>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</si>
  <si>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</si>
  <si>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</si>
  <si>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</si>
  <si>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</si>
  <si>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</si>
  <si>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</si>
  <si>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</si>
  <si>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</si>
  <si>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</si>
  <si>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</si>
  <si>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</si>
  <si>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</si>
  <si>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</si>
  <si>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</si>
  <si>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</si>
  <si>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</si>
  <si>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</si>
  <si>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</si>
  <si>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</si>
  <si>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</si>
  <si>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</si>
  <si>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</si>
  <si>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</si>
  <si>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</si>
  <si>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</si>
  <si>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</si>
  <si>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</si>
  <si>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</si>
  <si>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</si>
  <si>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</si>
  <si>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</si>
  <si>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</si>
  <si>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</si>
  <si>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</si>
  <si>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</si>
  <si>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</si>
  <si>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</si>
  <si>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</si>
  <si>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</si>
  <si>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</si>
  <si>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</si>
  <si>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</si>
  <si>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</si>
  <si>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</si>
  <si>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</si>
  <si>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</si>
  <si>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</si>
  <si>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</si>
  <si>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</si>
  <si>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</si>
  <si>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</si>
  <si>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</si>
  <si>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</si>
  <si>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</si>
  <si>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</si>
  <si>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</si>
  <si>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</si>
  <si>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</si>
  <si>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</si>
  <si>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</si>
  <si>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</si>
  <si>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</si>
  <si>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</si>
  <si>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</si>
  <si>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</si>
  <si>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</si>
  <si>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</si>
  <si>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</si>
  <si>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</si>
  <si>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</si>
  <si>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</si>
  <si>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</si>
  <si>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</si>
  <si>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</si>
  <si>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</si>
  <si>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</si>
  <si>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</si>
  <si>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</si>
  <si>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</si>
  <si>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</si>
  <si>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</si>
  <si>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</si>
  <si>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</si>
  <si>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</si>
  <si>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</si>
  <si>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</si>
  <si>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</si>
  <si>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</si>
  <si>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</si>
  <si>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</si>
  <si>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</si>
  <si>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</si>
  <si>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</si>
  <si>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</si>
  <si>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</si>
  <si>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</si>
  <si>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</si>
  <si>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</si>
  <si>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</si>
  <si>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</si>
  <si>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</si>
  <si>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</si>
  <si>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</si>
  <si>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</si>
  <si>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</si>
  <si>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</si>
  <si>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</si>
  <si>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</si>
  <si>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</si>
  <si>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</si>
  <si>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</si>
  <si>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</si>
  <si>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</si>
  <si>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</si>
  <si>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</si>
  <si>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</si>
  <si>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</si>
  <si>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</si>
  <si>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</si>
  <si>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</si>
  <si>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</si>
  <si>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</si>
  <si>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</si>
  <si>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</si>
  <si>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</si>
  <si>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</si>
  <si>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</si>
  <si>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</si>
  <si>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</si>
  <si>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</si>
  <si>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</si>
  <si>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</si>
  <si>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</si>
  <si>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</si>
  <si>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</si>
  <si>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</si>
  <si>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</si>
  <si>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</si>
  <si>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</si>
  <si>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</si>
  <si>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</si>
  <si>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</si>
  <si>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</si>
  <si>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</si>
  <si>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</si>
  <si>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</si>
  <si>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</si>
  <si>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</si>
  <si>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</si>
  <si>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</si>
  <si>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</si>
  <si>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</si>
  <si>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</si>
  <si>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</si>
  <si>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</si>
  <si>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</si>
  <si>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</si>
  <si>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</si>
  <si>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</si>
  <si>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</si>
  <si>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</si>
  <si>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</si>
  <si>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</si>
  <si>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</si>
  <si>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</si>
  <si>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</si>
  <si>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</si>
  <si>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</si>
  <si>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</si>
  <si>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</si>
  <si>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</si>
  <si>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</si>
  <si>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</si>
  <si>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</si>
  <si>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</si>
  <si>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</si>
  <si>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</si>
  <si>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</si>
  <si>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</si>
  <si>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</si>
  <si>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</si>
  <si>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</si>
  <si>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</si>
  <si>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</si>
  <si>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</si>
  <si>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</si>
  <si>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</si>
  <si>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</si>
  <si>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</si>
  <si>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</si>
  <si>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</si>
  <si>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</si>
  <si>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</si>
  <si>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</si>
  <si>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</si>
  <si>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</si>
  <si>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</si>
  <si>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</si>
  <si>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</si>
  <si>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</si>
  <si>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</si>
  <si>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</si>
  <si>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</si>
  <si>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</si>
  <si>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</si>
  <si>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</si>
  <si>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</si>
  <si>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</si>
  <si>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</si>
  <si>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</si>
  <si>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</si>
  <si>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</si>
  <si>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</si>
  <si>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</si>
  <si>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</si>
  <si>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</si>
  <si>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</si>
  <si>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</si>
  <si>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</si>
  <si>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</si>
  <si>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</si>
  <si>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</si>
  <si>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</si>
  <si>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</si>
  <si>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</si>
  <si>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</si>
  <si>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</si>
  <si>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</si>
  <si>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</si>
  <si>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</si>
  <si>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</si>
  <si>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</si>
  <si>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</si>
  <si>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</si>
  <si>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</si>
  <si>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</si>
  <si>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</si>
  <si>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</si>
  <si>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</si>
  <si>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</si>
  <si>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</si>
  <si>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</si>
  <si>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</si>
  <si>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</si>
  <si>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</si>
  <si>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</si>
  <si>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</si>
  <si>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</si>
  <si>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</si>
  <si>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</si>
  <si>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</si>
  <si>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</si>
  <si>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</si>
  <si>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</si>
  <si>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</si>
  <si>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</si>
  <si>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</si>
  <si>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</si>
  <si>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</si>
  <si>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</si>
  <si>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</si>
  <si>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</si>
  <si>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</si>
  <si>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</si>
  <si>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</si>
  <si>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</si>
  <si>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</si>
  <si>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</si>
  <si>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</si>
  <si>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</si>
  <si>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</si>
  <si>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</si>
  <si>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</si>
  <si>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</si>
  <si>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</si>
  <si>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</si>
  <si>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</si>
  <si>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</si>
  <si>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</si>
  <si>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</si>
  <si>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</si>
  <si>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</si>
  <si>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</si>
  <si>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</si>
  <si>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</si>
  <si>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</si>
  <si>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</si>
  <si>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</si>
  <si>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</si>
  <si>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</si>
  <si>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</si>
  <si>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</si>
  <si>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</si>
  <si>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</si>
  <si>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</si>
  <si>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</si>
  <si>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</si>
  <si>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</si>
  <si>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</si>
  <si>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</si>
  <si>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</si>
  <si>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</si>
  <si>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</si>
  <si>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</si>
  <si>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</si>
  <si>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</si>
  <si>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</si>
  <si>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</si>
  <si>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</si>
  <si>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</si>
  <si>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</si>
  <si>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</si>
  <si>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</si>
  <si>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</si>
  <si>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</si>
  <si>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</si>
  <si>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</si>
  <si>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</si>
  <si>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</si>
  <si>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</si>
  <si>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</si>
  <si>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</si>
  <si>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</si>
  <si>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</si>
  <si>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</si>
  <si>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</si>
  <si>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</si>
  <si>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</si>
  <si>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</si>
  <si>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</si>
  <si>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</si>
  <si>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</si>
  <si>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</si>
  <si>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</si>
  <si>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</si>
  <si>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</si>
  <si>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</si>
  <si>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</si>
  <si>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</si>
  <si>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</si>
  <si>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</si>
  <si>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</si>
  <si>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</si>
  <si>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</si>
  <si>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</si>
  <si>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</si>
  <si>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</si>
  <si>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</si>
  <si>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</si>
  <si>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</si>
  <si>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</si>
  <si>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</si>
  <si>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</si>
  <si>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</si>
  <si>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</si>
  <si>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</si>
  <si>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</si>
  <si>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</si>
  <si>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</si>
  <si>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</si>
  <si>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</si>
  <si>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</si>
  <si>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</si>
  <si>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</si>
  <si>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</si>
  <si>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</si>
  <si>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</si>
  <si>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</si>
  <si>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</si>
  <si>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</si>
  <si>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Zimbabwe</t>
  </si>
  <si>
    <t>Default Spread</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</si>
  <si>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</si>
  <si>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</si>
  <si>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</si>
  <si>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Macao</t>
  </si>
  <si>
    <t>Trinidad and Tobago</t>
  </si>
  <si>
    <t>Turks and Caicos Islands</t>
  </si>
  <si>
    <t>C</t>
  </si>
  <si>
    <t>Pre-tax Operating Margin (Unadjusted)</t>
  </si>
  <si>
    <t>Total Market (without financials)</t>
  </si>
  <si>
    <t>Rest of the World</t>
  </si>
  <si>
    <t>Technology &amp; Content</t>
  </si>
  <si>
    <t>G&amp;A</t>
  </si>
  <si>
    <t>Marketing Costs</t>
  </si>
  <si>
    <t>Content Costs</t>
  </si>
  <si>
    <t>Content Costs (Cash Flows)</t>
  </si>
  <si>
    <t>Anguilla</t>
  </si>
  <si>
    <t>Antigua &amp; Barbuda</t>
  </si>
  <si>
    <t>British Virgin Islands</t>
  </si>
  <si>
    <t>Channel Islands</t>
  </si>
  <si>
    <t>Curaçao</t>
  </si>
  <si>
    <t>Falkland Islands</t>
  </si>
  <si>
    <t>Gibraltar</t>
  </si>
  <si>
    <t>Greenland</t>
  </si>
  <si>
    <t>Guernsey</t>
  </si>
  <si>
    <t>Ivory Coast</t>
  </si>
  <si>
    <t>Jersey</t>
  </si>
  <si>
    <t>Laos</t>
  </si>
  <si>
    <t>Netherlands Antilles</t>
  </si>
  <si>
    <t>Palestinian Authority</t>
  </si>
  <si>
    <t>Reunion</t>
  </si>
  <si>
    <t>Saint Lucia</t>
  </si>
  <si>
    <t>South Korea</t>
  </si>
  <si>
    <t>Yemen</t>
  </si>
  <si>
    <t>Pre-tax Operating Margin (Lease &amp; R&amp;D adjusted)</t>
  </si>
  <si>
    <t>Total Market</t>
  </si>
  <si>
    <t>I will asssume that today's risk free rate will prevail in perpetuity. If you override this assumption, I will change the riskfree rate after year 10.</t>
  </si>
  <si>
    <t>If yes, enter the riskfree rate after year 10</t>
  </si>
  <si>
    <t>If yes, you will be asked to enter a normal risk free rate and your growth in perpetuity will be adjusted accordingly.</t>
  </si>
  <si>
    <t>Enter your estimate of what the riskfree rate (in your currency of choice) will be after year 10</t>
  </si>
  <si>
    <t>This is an option to let you use a negative growth rate in perpetuity or to even liquidate the firm.</t>
  </si>
  <si>
    <t xml:space="preserve">Revenue growth rate for next year </t>
  </si>
  <si>
    <t>Compounded annual revenue growth rate - years 2-5 =</t>
  </si>
  <si>
    <t>Operating Margin for next year</t>
  </si>
  <si>
    <t>Average strike price =</t>
  </si>
  <si>
    <t>Deere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</si>
</sst>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0.0000"/>
    <numFmt numFmtId="166" formatCode="0.000%"/>
    <numFmt numFmtId="167" formatCode="0.0000%"/>
    <numFmt numFmtId="168" formatCode="_(&quot;$&quot;* #,##0_);_(&quot;$&quot;* \(#,##0\);_(&quot;$&quot;* &quot;-&quot;??_);_(@_)"/>
    <numFmt numFmtId="169" formatCode="0.0000"/>
    <numFmt numFmtId="170" formatCode="_(* #,##0.0_);_(* \(#,##0.0\)_)\ ;_(* 0_)"/>
    <numFmt numFmtId="171" formatCode="_([$$-409]* #,##0.00_);_([$$-409]* \(#,##0.00\);_([$$-409]* &quot;-&quot;??_);_(@_)"/>
    <numFmt numFmtId="172" formatCode="_([$$-409]* #,##0_);_([$$-409]* \(#,##0\);_([$$-409]* &quot;-&quot;??_);_(@_)"/>
  </numFmts>
  <fonts count="71">
    <font>
      <sz val="9"/>
      <name val="Geneva"/>
      <family val="2"/>
    </font>
    <font>
      <sz val="12"/>
      <color theme="1"/>
      <name val="Calibri"/>
      <family val="2"/>
      <scheme val="minor"/>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
      <sz val="12"/>
      <color rgb="FFFF0000"/>
      <name val="Arial"/>
      <family val="2"/>
    </font>
    <font>
      <sz val="8"/>
      <color theme="1"/>
      <name val="Arial"/>
      <family val="2"/>
    </font>
    <font>
      <sz val="8"/>
      <color rgb="FFFF0000"/>
      <name val="Arial"/>
      <family val="2"/>
    </font>
    <font>
      <sz val="10"/>
      <name val="Calibri"/>
      <family val="2"/>
    </font>
    <font>
      <b/>
      <sz val="10"/>
      <color rgb="FFFF0000"/>
      <name val="Helv"/>
    </font>
    <font>
      <b/>
      <sz val="9"/>
      <color rgb="FF000000"/>
      <name val="Geneva"/>
      <family val="2"/>
      <charset val="1"/>
    </font>
    <font>
      <sz val="9"/>
      <color rgb="FF000000"/>
      <name val="Geneva"/>
      <family val="2"/>
      <charset val="1"/>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438">
    <xf numFmtId="0" fontId="0" fillId="0" borderId="0" xfId="0"/>
    <xf numFmtId="0" fontId="0" fillId="0" borderId="1" xfId="0" applyBorder="1"/>
    <xf numFmtId="0" fontId="3" fillId="0" borderId="0" xfId="0" applyFont="1"/>
    <xf numFmtId="10" fontId="0" fillId="0" borderId="1" xfId="0" applyNumberFormat="1" applyBorder="1" applyAlignment="1">
      <alignment horizontal="center"/>
    </xf>
    <xf numFmtId="0" fontId="8" fillId="0" borderId="0" xfId="0" applyFont="1"/>
    <xf numFmtId="0" fontId="9" fillId="0" borderId="0" xfId="0" applyFont="1"/>
    <xf numFmtId="0" fontId="11" fillId="0" borderId="0" xfId="0" applyFont="1"/>
    <xf numFmtId="0" fontId="12" fillId="0" borderId="0" xfId="0" applyFont="1"/>
    <xf numFmtId="0" fontId="13" fillId="0" borderId="0" xfId="0" applyFont="1"/>
    <xf numFmtId="44" fontId="13" fillId="2" borderId="1" xfId="2" applyFont="1" applyFill="1" applyBorder="1"/>
    <xf numFmtId="10" fontId="13" fillId="2" borderId="1" xfId="3" applyNumberFormat="1" applyFont="1" applyFill="1" applyBorder="1"/>
    <xf numFmtId="10" fontId="13" fillId="2" borderId="1" xfId="0" applyNumberFormat="1" applyFont="1" applyFill="1" applyBorder="1"/>
    <xf numFmtId="2" fontId="13" fillId="2" borderId="1" xfId="0" applyNumberFormat="1" applyFont="1" applyFill="1" applyBorder="1"/>
    <xf numFmtId="4" fontId="13" fillId="2" borderId="1" xfId="0" applyNumberFormat="1" applyFont="1" applyFill="1" applyBorder="1"/>
    <xf numFmtId="0" fontId="14" fillId="0" borderId="0" xfId="0" applyFont="1"/>
    <xf numFmtId="0" fontId="15" fillId="0" borderId="0" xfId="0" applyFont="1"/>
    <xf numFmtId="0" fontId="16" fillId="0" borderId="0" xfId="0" applyFont="1"/>
    <xf numFmtId="0" fontId="17" fillId="0" borderId="0" xfId="0" applyFont="1"/>
    <xf numFmtId="0" fontId="17" fillId="0" borderId="1" xfId="0" applyFont="1" applyBorder="1"/>
    <xf numFmtId="0" fontId="13" fillId="0" borderId="1" xfId="0" applyFont="1" applyBorder="1"/>
    <xf numFmtId="10" fontId="17" fillId="0" borderId="0" xfId="0" applyNumberFormat="1" applyFont="1"/>
    <xf numFmtId="3" fontId="13" fillId="0" borderId="1" xfId="0" applyNumberFormat="1" applyFont="1" applyBorder="1"/>
    <xf numFmtId="10" fontId="17" fillId="0" borderId="1" xfId="0" applyNumberFormat="1" applyFont="1" applyBorder="1"/>
    <xf numFmtId="165" fontId="17" fillId="0" borderId="1" xfId="1" applyNumberFormat="1" applyFont="1" applyBorder="1"/>
    <xf numFmtId="10" fontId="13" fillId="0" borderId="1" xfId="0" applyNumberFormat="1" applyFont="1" applyBorder="1"/>
    <xf numFmtId="44" fontId="13" fillId="0" borderId="2" xfId="2" applyFont="1" applyBorder="1"/>
    <xf numFmtId="44" fontId="13" fillId="0" borderId="0" xfId="2" applyFont="1"/>
    <xf numFmtId="8" fontId="13" fillId="0" borderId="2" xfId="0" applyNumberFormat="1" applyFont="1" applyBorder="1"/>
    <xf numFmtId="44" fontId="13" fillId="2" borderId="1" xfId="0" applyNumberFormat="1" applyFont="1" applyFill="1" applyBorder="1"/>
    <xf numFmtId="0" fontId="11" fillId="0" borderId="0" xfId="0" applyFont="1" applyAlignment="1">
      <alignment horizontal="centerContinuous"/>
    </xf>
    <xf numFmtId="0" fontId="13" fillId="0" borderId="1" xfId="0" applyFont="1" applyBorder="1" applyAlignment="1">
      <alignment horizontal="center"/>
    </xf>
    <xf numFmtId="0" fontId="20" fillId="0" borderId="0" xfId="0" applyFont="1"/>
    <xf numFmtId="0" fontId="13" fillId="0" borderId="2" xfId="0" applyFont="1" applyBorder="1"/>
    <xf numFmtId="44" fontId="13" fillId="3" borderId="1" xfId="2" applyFont="1" applyFill="1" applyBorder="1"/>
    <xf numFmtId="44" fontId="13" fillId="0" borderId="0" xfId="2" applyFont="1" applyBorder="1"/>
    <xf numFmtId="0" fontId="13" fillId="2" borderId="1" xfId="0" applyFont="1" applyFill="1" applyBorder="1" applyAlignment="1">
      <alignment horizontal="center"/>
    </xf>
    <xf numFmtId="0" fontId="13" fillId="0" borderId="3" xfId="0" applyFont="1" applyBorder="1"/>
    <xf numFmtId="44" fontId="13" fillId="2" borderId="3" xfId="0" applyNumberFormat="1" applyFont="1" applyFill="1" applyBorder="1"/>
    <xf numFmtId="44" fontId="13" fillId="2" borderId="3" xfId="2" applyFont="1" applyFill="1" applyBorder="1"/>
    <xf numFmtId="0" fontId="13" fillId="2" borderId="2" xfId="0" applyFont="1" applyFill="1" applyBorder="1"/>
    <xf numFmtId="44" fontId="13" fillId="2" borderId="2" xfId="0" applyNumberFormat="1" applyFont="1" applyFill="1" applyBorder="1"/>
    <xf numFmtId="44" fontId="13" fillId="2" borderId="4" xfId="0" applyNumberFormat="1" applyFont="1" applyFill="1" applyBorder="1"/>
    <xf numFmtId="0" fontId="22" fillId="0" borderId="5" xfId="0" applyFont="1" applyBorder="1" applyAlignment="1">
      <alignment horizontal="center"/>
    </xf>
    <xf numFmtId="0" fontId="22" fillId="0" borderId="1" xfId="0" applyFont="1" applyBorder="1" applyAlignment="1">
      <alignment horizontal="center"/>
    </xf>
    <xf numFmtId="0" fontId="23" fillId="0" borderId="1" xfId="0" applyFont="1" applyBorder="1"/>
    <xf numFmtId="0" fontId="23" fillId="0" borderId="0" xfId="0" applyFont="1" applyBorder="1"/>
    <xf numFmtId="0" fontId="23" fillId="0" borderId="0" xfId="0" applyFont="1" applyFill="1" applyBorder="1"/>
    <xf numFmtId="0" fontId="23" fillId="0" borderId="0" xfId="0" applyFont="1"/>
    <xf numFmtId="0" fontId="23" fillId="0" borderId="1" xfId="0" applyFont="1" applyFill="1" applyBorder="1"/>
    <xf numFmtId="0" fontId="24" fillId="0" borderId="1" xfId="0" applyFont="1" applyBorder="1"/>
    <xf numFmtId="0" fontId="23" fillId="0" borderId="1" xfId="0" applyFont="1" applyBorder="1" applyAlignment="1">
      <alignment horizontal="center"/>
    </xf>
    <xf numFmtId="0" fontId="23" fillId="0" borderId="0" xfId="0" applyFont="1" applyBorder="1" applyAlignment="1">
      <alignment horizontal="center"/>
    </xf>
    <xf numFmtId="0" fontId="23" fillId="0" borderId="0" xfId="0" applyFont="1" applyAlignment="1">
      <alignment horizontal="center"/>
    </xf>
    <xf numFmtId="0" fontId="25" fillId="0" borderId="0" xfId="0" applyFont="1"/>
    <xf numFmtId="0" fontId="26" fillId="0" borderId="6" xfId="0" applyFont="1" applyBorder="1"/>
    <xf numFmtId="0" fontId="26" fillId="0" borderId="7" xfId="0" applyFont="1" applyBorder="1"/>
    <xf numFmtId="0" fontId="26" fillId="0" borderId="0" xfId="0" applyFont="1"/>
    <xf numFmtId="0" fontId="25" fillId="0" borderId="0" xfId="0" applyFont="1" applyAlignment="1"/>
    <xf numFmtId="0" fontId="26" fillId="0" borderId="8" xfId="0" applyFont="1" applyBorder="1"/>
    <xf numFmtId="0" fontId="26" fillId="0" borderId="9" xfId="0" applyFont="1" applyBorder="1"/>
    <xf numFmtId="0" fontId="26" fillId="0" borderId="1" xfId="0" applyFont="1" applyFill="1" applyBorder="1"/>
    <xf numFmtId="44" fontId="26" fillId="4" borderId="1" xfId="2" applyFont="1" applyFill="1" applyBorder="1" applyAlignment="1">
      <alignment horizontal="center"/>
    </xf>
    <xf numFmtId="0" fontId="45" fillId="0" borderId="0" xfId="0" applyFont="1"/>
    <xf numFmtId="0" fontId="26" fillId="0" borderId="0" xfId="0" applyFont="1" applyFill="1" applyBorder="1"/>
    <xf numFmtId="10" fontId="26" fillId="4" borderId="1" xfId="2" applyNumberFormat="1" applyFont="1" applyFill="1" applyBorder="1" applyAlignment="1">
      <alignment horizontal="center"/>
    </xf>
    <xf numFmtId="0" fontId="25" fillId="0" borderId="0" xfId="0" applyFont="1" applyFill="1" applyBorder="1"/>
    <xf numFmtId="44" fontId="26" fillId="0" borderId="0" xfId="2" applyFont="1" applyFill="1" applyBorder="1" applyAlignment="1">
      <alignment horizontal="center"/>
    </xf>
    <xf numFmtId="10" fontId="26" fillId="4" borderId="1" xfId="0" applyNumberFormat="1" applyFont="1" applyFill="1" applyBorder="1" applyAlignment="1">
      <alignment horizontal="center"/>
    </xf>
    <xf numFmtId="2" fontId="26" fillId="4" borderId="1" xfId="0" applyNumberFormat="1" applyFont="1" applyFill="1" applyBorder="1" applyAlignment="1">
      <alignment horizontal="center"/>
    </xf>
    <xf numFmtId="10" fontId="26" fillId="0" borderId="0" xfId="0" applyNumberFormat="1" applyFont="1" applyFill="1" applyBorder="1"/>
    <xf numFmtId="10" fontId="26" fillId="5" borderId="0" xfId="0" applyNumberFormat="1" applyFont="1" applyFill="1" applyBorder="1" applyAlignment="1">
      <alignment horizontal="center"/>
    </xf>
    <xf numFmtId="164" fontId="26" fillId="4" borderId="1" xfId="0" applyNumberFormat="1" applyFont="1" applyFill="1" applyBorder="1" applyAlignment="1">
      <alignment horizontal="center"/>
    </xf>
    <xf numFmtId="10" fontId="26" fillId="0" borderId="0" xfId="0" applyNumberFormat="1" applyFont="1" applyFill="1" applyBorder="1" applyAlignment="1">
      <alignment horizontal="center"/>
    </xf>
    <xf numFmtId="0" fontId="28" fillId="0" borderId="0" xfId="0" applyFont="1" applyFill="1" applyBorder="1" applyAlignment="1"/>
    <xf numFmtId="0" fontId="28" fillId="0" borderId="0" xfId="0" applyFont="1"/>
    <xf numFmtId="0" fontId="26" fillId="0" borderId="0" xfId="0" applyFont="1" applyFill="1" applyBorder="1" applyAlignment="1"/>
    <xf numFmtId="0" fontId="26" fillId="4" borderId="1" xfId="0" applyFont="1" applyFill="1" applyBorder="1" applyAlignment="1">
      <alignment horizontal="center"/>
    </xf>
    <xf numFmtId="9" fontId="26" fillId="4" borderId="1" xfId="0" applyNumberFormat="1" applyFont="1" applyFill="1" applyBorder="1" applyAlignment="1">
      <alignment horizontal="center"/>
    </xf>
    <xf numFmtId="9" fontId="26" fillId="5" borderId="0" xfId="0" applyNumberFormat="1" applyFont="1" applyFill="1" applyBorder="1" applyAlignment="1">
      <alignment horizontal="center"/>
    </xf>
    <xf numFmtId="0" fontId="9" fillId="0" borderId="0" xfId="0" applyFont="1" applyAlignment="1">
      <alignment horizontal="left"/>
    </xf>
    <xf numFmtId="10" fontId="13" fillId="4" borderId="2" xfId="0" applyNumberFormat="1" applyFont="1" applyFill="1" applyBorder="1" applyAlignment="1">
      <alignment horizontal="center"/>
    </xf>
    <xf numFmtId="8" fontId="13" fillId="2" borderId="2" xfId="0" applyNumberFormat="1" applyFont="1" applyFill="1" applyBorder="1"/>
    <xf numFmtId="0" fontId="26" fillId="0" borderId="0" xfId="0" applyFont="1" applyBorder="1"/>
    <xf numFmtId="0" fontId="27" fillId="5" borderId="0" xfId="0" applyFont="1" applyFill="1" applyBorder="1" applyAlignment="1"/>
    <xf numFmtId="0" fontId="28" fillId="5" borderId="0" xfId="0" applyFont="1" applyFill="1" applyBorder="1" applyAlignment="1"/>
    <xf numFmtId="44" fontId="26" fillId="4" borderId="1" xfId="2" applyFont="1" applyFill="1" applyBorder="1" applyAlignment="1">
      <alignment horizontal="center"/>
    </xf>
    <xf numFmtId="0" fontId="25" fillId="0" borderId="10" xfId="0" applyFont="1" applyBorder="1"/>
    <xf numFmtId="0" fontId="26" fillId="0" borderId="11" xfId="0" applyFont="1" applyBorder="1"/>
    <xf numFmtId="0" fontId="26" fillId="0" borderId="12" xfId="0" applyFont="1" applyBorder="1"/>
    <xf numFmtId="0" fontId="23" fillId="6" borderId="1" xfId="0" applyFont="1" applyFill="1" applyBorder="1"/>
    <xf numFmtId="10" fontId="23" fillId="6" borderId="1" xfId="3" applyNumberFormat="1" applyFont="1" applyFill="1" applyBorder="1" applyAlignment="1">
      <alignment horizontal="center"/>
    </xf>
    <xf numFmtId="10" fontId="23" fillId="6" borderId="1" xfId="0" applyNumberFormat="1" applyFont="1" applyFill="1" applyBorder="1" applyAlignment="1">
      <alignment horizontal="center"/>
    </xf>
    <xf numFmtId="44" fontId="23" fillId="6" borderId="1" xfId="2" applyFont="1" applyFill="1" applyBorder="1"/>
    <xf numFmtId="44" fontId="23" fillId="6" borderId="1" xfId="2" applyFont="1" applyFill="1" applyBorder="1" applyAlignment="1">
      <alignment horizontal="center"/>
    </xf>
    <xf numFmtId="10" fontId="23" fillId="6" borderId="1" xfId="3" applyNumberFormat="1" applyFont="1" applyFill="1" applyBorder="1"/>
    <xf numFmtId="10" fontId="23" fillId="6" borderId="1" xfId="2" applyNumberFormat="1" applyFont="1" applyFill="1" applyBorder="1"/>
    <xf numFmtId="10" fontId="23" fillId="6" borderId="1" xfId="2" applyNumberFormat="1" applyFont="1" applyFill="1" applyBorder="1" applyAlignment="1">
      <alignment horizontal="center"/>
    </xf>
    <xf numFmtId="44" fontId="23" fillId="6" borderId="1" xfId="0" applyNumberFormat="1" applyFont="1" applyFill="1" applyBorder="1" applyAlignment="1">
      <alignment horizontal="center"/>
    </xf>
    <xf numFmtId="0" fontId="23" fillId="6" borderId="1" xfId="0" applyFont="1" applyFill="1" applyBorder="1" applyAlignment="1">
      <alignment horizontal="center"/>
    </xf>
    <xf numFmtId="44" fontId="23" fillId="6" borderId="1" xfId="0" applyNumberFormat="1" applyFont="1" applyFill="1" applyBorder="1"/>
    <xf numFmtId="10" fontId="23" fillId="6" borderId="1" xfId="0" applyNumberFormat="1" applyFont="1" applyFill="1" applyBorder="1"/>
    <xf numFmtId="164" fontId="23" fillId="6" borderId="1" xfId="0" applyNumberFormat="1" applyFont="1" applyFill="1" applyBorder="1"/>
    <xf numFmtId="8" fontId="23" fillId="6" borderId="1" xfId="0" applyNumberFormat="1" applyFont="1" applyFill="1" applyBorder="1"/>
    <xf numFmtId="43" fontId="23" fillId="6" borderId="1" xfId="1" applyNumberFormat="1" applyFont="1" applyFill="1" applyBorder="1"/>
    <xf numFmtId="44" fontId="46" fillId="6" borderId="1" xfId="2" applyNumberFormat="1" applyFont="1" applyFill="1" applyBorder="1"/>
    <xf numFmtId="44" fontId="23" fillId="6" borderId="1" xfId="2" applyNumberFormat="1" applyFont="1" applyFill="1" applyBorder="1"/>
    <xf numFmtId="2" fontId="23" fillId="6" borderId="1" xfId="0" applyNumberFormat="1" applyFont="1" applyFill="1" applyBorder="1" applyAlignment="1">
      <alignment horizontal="center"/>
    </xf>
    <xf numFmtId="168" fontId="23" fillId="6" borderId="1" xfId="0" applyNumberFormat="1" applyFont="1" applyFill="1" applyBorder="1"/>
    <xf numFmtId="168" fontId="23" fillId="6" borderId="1" xfId="0" applyNumberFormat="1" applyFont="1" applyFill="1" applyBorder="1" applyAlignment="1">
      <alignment horizontal="center"/>
    </xf>
    <xf numFmtId="44" fontId="23" fillId="7" borderId="1" xfId="2" applyFont="1" applyFill="1" applyBorder="1" applyAlignment="1">
      <alignment horizontal="center"/>
    </xf>
    <xf numFmtId="10" fontId="23" fillId="7" borderId="1" xfId="3" applyNumberFormat="1" applyFont="1" applyFill="1" applyBorder="1" applyAlignment="1">
      <alignment horizontal="center"/>
    </xf>
    <xf numFmtId="44" fontId="0" fillId="7" borderId="1" xfId="0" applyNumberFormat="1" applyFill="1" applyBorder="1"/>
    <xf numFmtId="0" fontId="29" fillId="0" borderId="0" xfId="0" applyFont="1"/>
    <xf numFmtId="0" fontId="17" fillId="0" borderId="0" xfId="0" applyFont="1" applyBorder="1"/>
    <xf numFmtId="0" fontId="13" fillId="0" borderId="0" xfId="0" applyFont="1" applyBorder="1"/>
    <xf numFmtId="0" fontId="13" fillId="3" borderId="1" xfId="0" applyFont="1" applyFill="1" applyBorder="1"/>
    <xf numFmtId="0" fontId="13" fillId="0" borderId="0" xfId="0" applyFont="1" applyFill="1"/>
    <xf numFmtId="0" fontId="13" fillId="0" borderId="0" xfId="0" applyFont="1" applyFill="1" applyBorder="1"/>
    <xf numFmtId="0" fontId="15" fillId="0" borderId="0" xfId="0" applyFont="1" applyAlignment="1">
      <alignment horizontal="center"/>
    </xf>
    <xf numFmtId="0" fontId="15" fillId="0" borderId="1" xfId="0" applyFont="1" applyBorder="1" applyAlignment="1">
      <alignment horizontal="center"/>
    </xf>
    <xf numFmtId="2" fontId="13" fillId="6" borderId="1" xfId="0" applyNumberFormat="1" applyFont="1" applyFill="1" applyBorder="1"/>
    <xf numFmtId="44" fontId="13" fillId="6" borderId="1" xfId="0" applyNumberFormat="1" applyFont="1" applyFill="1" applyBorder="1"/>
    <xf numFmtId="44" fontId="13" fillId="6" borderId="1" xfId="2" applyFont="1" applyFill="1" applyBorder="1"/>
    <xf numFmtId="10" fontId="13" fillId="6" borderId="1" xfId="3" applyNumberFormat="1" applyFont="1" applyFill="1" applyBorder="1"/>
    <xf numFmtId="10" fontId="13" fillId="6" borderId="3" xfId="0" applyNumberFormat="1" applyFont="1" applyFill="1" applyBorder="1"/>
    <xf numFmtId="10" fontId="13" fillId="6" borderId="1" xfId="0" applyNumberFormat="1" applyFont="1" applyFill="1" applyBorder="1"/>
    <xf numFmtId="10" fontId="13" fillId="6" borderId="13" xfId="3" applyNumberFormat="1" applyFont="1" applyFill="1" applyBorder="1"/>
    <xf numFmtId="10" fontId="13" fillId="6" borderId="2" xfId="3" applyNumberFormat="1" applyFont="1" applyFill="1" applyBorder="1"/>
    <xf numFmtId="2" fontId="13" fillId="6" borderId="1" xfId="2" applyNumberFormat="1" applyFont="1" applyFill="1" applyBorder="1"/>
    <xf numFmtId="0" fontId="30" fillId="0" borderId="0" xfId="0" applyFont="1"/>
    <xf numFmtId="0" fontId="31" fillId="0" borderId="0" xfId="0" applyFont="1"/>
    <xf numFmtId="0" fontId="21" fillId="0" borderId="0" xfId="0" applyFont="1"/>
    <xf numFmtId="0" fontId="13" fillId="3" borderId="1" xfId="0" applyFont="1" applyFill="1" applyBorder="1" applyAlignment="1">
      <alignment horizontal="center"/>
    </xf>
    <xf numFmtId="10" fontId="17" fillId="0" borderId="0" xfId="0" applyNumberFormat="1" applyFont="1" applyBorder="1" applyAlignment="1">
      <alignment horizontal="center"/>
    </xf>
    <xf numFmtId="10" fontId="14" fillId="0" borderId="0" xfId="0" applyNumberFormat="1" applyFont="1" applyBorder="1" applyAlignment="1">
      <alignment horizontal="center"/>
    </xf>
    <xf numFmtId="0" fontId="15" fillId="0" borderId="1" xfId="0" applyFont="1" applyBorder="1" applyAlignment="1">
      <alignment horizontal="centerContinuous"/>
    </xf>
    <xf numFmtId="0" fontId="15" fillId="0" borderId="1" xfId="0" applyFont="1" applyBorder="1"/>
    <xf numFmtId="2" fontId="13" fillId="0" borderId="1" xfId="0" applyNumberFormat="1" applyFont="1" applyBorder="1" applyAlignment="1">
      <alignment horizontal="center"/>
    </xf>
    <xf numFmtId="0" fontId="13" fillId="0" borderId="1" xfId="0" applyFont="1" applyBorder="1" applyAlignment="1">
      <alignment horizontal="centerContinuous"/>
    </xf>
    <xf numFmtId="10" fontId="13" fillId="6" borderId="2" xfId="0" applyNumberFormat="1" applyFont="1" applyFill="1" applyBorder="1"/>
    <xf numFmtId="2" fontId="17" fillId="6" borderId="2" xfId="0" applyNumberFormat="1" applyFont="1" applyFill="1" applyBorder="1" applyAlignment="1">
      <alignment horizontal="center"/>
    </xf>
    <xf numFmtId="0" fontId="32" fillId="6" borderId="4" xfId="0" applyFont="1" applyFill="1" applyBorder="1" applyAlignment="1">
      <alignment horizontal="center"/>
    </xf>
    <xf numFmtId="10" fontId="17" fillId="6" borderId="2" xfId="3" applyNumberFormat="1" applyFont="1" applyFill="1" applyBorder="1" applyAlignment="1">
      <alignment horizontal="center"/>
    </xf>
    <xf numFmtId="10" fontId="17" fillId="6" borderId="2" xfId="0" applyNumberFormat="1" applyFont="1" applyFill="1" applyBorder="1" applyAlignment="1">
      <alignment horizontal="center"/>
    </xf>
    <xf numFmtId="0" fontId="34" fillId="0" borderId="0" xfId="0" applyFont="1"/>
    <xf numFmtId="0" fontId="8" fillId="5" borderId="0" xfId="0" applyFont="1" applyFill="1"/>
    <xf numFmtId="0" fontId="33" fillId="6" borderId="1" xfId="0" applyFont="1" applyFill="1" applyBorder="1"/>
    <xf numFmtId="0" fontId="34" fillId="6" borderId="1" xfId="0" applyFont="1" applyFill="1" applyBorder="1"/>
    <xf numFmtId="44" fontId="34" fillId="6" borderId="1" xfId="2" applyFont="1" applyFill="1" applyBorder="1"/>
    <xf numFmtId="10" fontId="34" fillId="6" borderId="1" xfId="0" applyNumberFormat="1" applyFont="1" applyFill="1" applyBorder="1"/>
    <xf numFmtId="0" fontId="34" fillId="6" borderId="3" xfId="0" applyFont="1" applyFill="1" applyBorder="1"/>
    <xf numFmtId="10" fontId="34" fillId="6" borderId="3" xfId="0" applyNumberFormat="1" applyFont="1" applyFill="1" applyBorder="1" applyAlignment="1">
      <alignment horizontal="right"/>
    </xf>
    <xf numFmtId="0" fontId="34" fillId="0" borderId="10" xfId="0" applyFont="1" applyBorder="1"/>
    <xf numFmtId="169" fontId="23" fillId="6" borderId="1" xfId="0" applyNumberFormat="1" applyFont="1" applyFill="1" applyBorder="1" applyAlignment="1">
      <alignment horizontal="center"/>
    </xf>
    <xf numFmtId="0" fontId="23" fillId="0" borderId="0" xfId="0" applyFont="1" applyBorder="1" applyAlignment="1">
      <alignment horizontal="left"/>
    </xf>
    <xf numFmtId="0" fontId="25" fillId="0" borderId="11" xfId="0" applyFont="1" applyBorder="1"/>
    <xf numFmtId="0" fontId="26" fillId="0" borderId="0" xfId="0" applyFont="1" applyAlignment="1"/>
    <xf numFmtId="0" fontId="26" fillId="4" borderId="1" xfId="0" applyFont="1" applyFill="1" applyBorder="1" applyAlignment="1"/>
    <xf numFmtId="2" fontId="26" fillId="4" borderId="14" xfId="2" applyNumberFormat="1" applyFont="1" applyFill="1" applyBorder="1" applyAlignment="1">
      <alignment horizontal="center"/>
    </xf>
    <xf numFmtId="10" fontId="26" fillId="4" borderId="1" xfId="0" applyNumberFormat="1" applyFont="1" applyFill="1" applyBorder="1" applyAlignment="1">
      <alignment horizontal="center"/>
    </xf>
    <xf numFmtId="0" fontId="26" fillId="0" borderId="1" xfId="0" applyFont="1" applyBorder="1"/>
    <xf numFmtId="0" fontId="0" fillId="0" borderId="1" xfId="0" applyBorder="1" applyAlignment="1">
      <alignment horizontal="center"/>
    </xf>
    <xf numFmtId="0" fontId="13" fillId="4" borderId="1" xfId="0" applyFont="1" applyFill="1" applyBorder="1"/>
    <xf numFmtId="0" fontId="13" fillId="6" borderId="1" xfId="0" applyFont="1" applyFill="1" applyBorder="1"/>
    <xf numFmtId="0" fontId="14" fillId="0" borderId="1" xfId="0" applyFont="1" applyBorder="1"/>
    <xf numFmtId="167" fontId="13" fillId="6" borderId="1" xfId="3" applyNumberFormat="1" applyFont="1" applyFill="1" applyBorder="1"/>
    <xf numFmtId="167" fontId="13" fillId="6" borderId="1" xfId="0" applyNumberFormat="1" applyFont="1" applyFill="1" applyBorder="1"/>
    <xf numFmtId="2" fontId="13" fillId="3" borderId="1" xfId="0" applyNumberFormat="1" applyFont="1" applyFill="1" applyBorder="1"/>
    <xf numFmtId="10" fontId="26" fillId="5" borderId="0" xfId="3" applyNumberFormat="1" applyFont="1" applyFill="1" applyBorder="1"/>
    <xf numFmtId="0" fontId="26" fillId="0" borderId="15" xfId="0" applyFont="1" applyBorder="1"/>
    <xf numFmtId="0" fontId="8" fillId="0" borderId="16" xfId="0" applyFont="1" applyBorder="1"/>
    <xf numFmtId="0" fontId="8" fillId="0" borderId="17" xfId="0" applyFont="1" applyBorder="1"/>
    <xf numFmtId="0" fontId="25" fillId="0" borderId="0" xfId="0" applyFont="1" applyBorder="1"/>
    <xf numFmtId="44" fontId="26" fillId="4" borderId="14" xfId="2" applyFont="1" applyFill="1" applyBorder="1" applyAlignment="1">
      <alignment horizontal="center"/>
    </xf>
    <xf numFmtId="0" fontId="13" fillId="4" borderId="1" xfId="0" applyFont="1" applyFill="1" applyBorder="1"/>
    <xf numFmtId="171" fontId="13" fillId="4" borderId="1" xfId="2" applyNumberFormat="1" applyFont="1" applyFill="1" applyBorder="1"/>
    <xf numFmtId="169" fontId="13" fillId="6" borderId="1" xfId="0" applyNumberFormat="1" applyFont="1" applyFill="1" applyBorder="1"/>
    <xf numFmtId="171" fontId="13" fillId="6" borderId="1" xfId="0" applyNumberFormat="1" applyFont="1" applyFill="1" applyBorder="1"/>
    <xf numFmtId="0" fontId="0" fillId="6" borderId="1" xfId="0" applyFill="1" applyBorder="1"/>
    <xf numFmtId="171" fontId="4" fillId="6" borderId="1" xfId="2" applyNumberFormat="1" applyFont="1" applyFill="1" applyBorder="1"/>
    <xf numFmtId="169"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4" fontId="0" fillId="4" borderId="1" xfId="0" applyNumberFormat="1" applyFill="1" applyBorder="1" applyAlignment="1">
      <alignment horizontal="center"/>
    </xf>
    <xf numFmtId="2" fontId="35" fillId="0" borderId="1" xfId="0" applyNumberFormat="1" applyFont="1" applyBorder="1" applyAlignment="1">
      <alignment horizontal="center"/>
    </xf>
    <xf numFmtId="2" fontId="35" fillId="0" borderId="0" xfId="0" applyNumberFormat="1" applyFont="1"/>
    <xf numFmtId="2" fontId="13" fillId="0" borderId="0" xfId="0" applyNumberFormat="1" applyFont="1"/>
    <xf numFmtId="1" fontId="35" fillId="0" borderId="1" xfId="0" applyNumberFormat="1" applyFont="1" applyBorder="1" applyAlignment="1">
      <alignment horizontal="center"/>
    </xf>
    <xf numFmtId="2" fontId="35" fillId="3" borderId="1" xfId="0" applyNumberFormat="1" applyFont="1" applyFill="1" applyBorder="1" applyAlignment="1">
      <alignment horizontal="center"/>
    </xf>
    <xf numFmtId="2" fontId="36" fillId="0" borderId="0" xfId="0" applyNumberFormat="1" applyFont="1"/>
    <xf numFmtId="2" fontId="35" fillId="0" borderId="13" xfId="0" applyNumberFormat="1" applyFont="1" applyBorder="1" applyAlignment="1">
      <alignment horizontal="centerContinuous"/>
    </xf>
    <xf numFmtId="2" fontId="35" fillId="0" borderId="18" xfId="0" applyNumberFormat="1" applyFont="1" applyBorder="1" applyAlignment="1">
      <alignment horizontal="centerContinuous"/>
    </xf>
    <xf numFmtId="44" fontId="35" fillId="0" borderId="1" xfId="2" applyFont="1" applyBorder="1"/>
    <xf numFmtId="2" fontId="35" fillId="0" borderId="3" xfId="0" applyNumberFormat="1" applyFont="1" applyBorder="1" applyAlignment="1">
      <alignment horizontal="center"/>
    </xf>
    <xf numFmtId="44" fontId="35" fillId="0" borderId="3" xfId="2" applyFont="1" applyBorder="1"/>
    <xf numFmtId="164" fontId="13" fillId="0" borderId="2" xfId="0" applyNumberFormat="1" applyFont="1" applyBorder="1"/>
    <xf numFmtId="164" fontId="13" fillId="0" borderId="19" xfId="0" applyNumberFormat="1" applyFont="1" applyBorder="1"/>
    <xf numFmtId="6" fontId="13" fillId="0" borderId="1" xfId="2" applyNumberFormat="1" applyFont="1" applyBorder="1"/>
    <xf numFmtId="44" fontId="26" fillId="8" borderId="18" xfId="0" applyNumberFormat="1" applyFont="1" applyFill="1" applyBorder="1" applyAlignment="1">
      <alignment horizontal="center"/>
    </xf>
    <xf numFmtId="44" fontId="45" fillId="9" borderId="18" xfId="0" applyNumberFormat="1" applyFont="1" applyFill="1" applyBorder="1" applyAlignment="1">
      <alignment horizontal="left"/>
    </xf>
    <xf numFmtId="0" fontId="0" fillId="0" borderId="1" xfId="0" applyFill="1" applyBorder="1" applyAlignment="1">
      <alignment horizontal="center"/>
    </xf>
    <xf numFmtId="164" fontId="0" fillId="0" borderId="1" xfId="0" applyNumberFormat="1" applyBorder="1" applyAlignment="1">
      <alignment horizontal="center"/>
    </xf>
    <xf numFmtId="164" fontId="0" fillId="0" borderId="1" xfId="0" applyNumberFormat="1" applyBorder="1"/>
    <xf numFmtId="164" fontId="0" fillId="0" borderId="1" xfId="3" applyNumberFormat="1" applyFont="1" applyBorder="1" applyAlignment="1">
      <alignment horizontal="center"/>
    </xf>
    <xf numFmtId="164" fontId="0" fillId="0" borderId="0" xfId="0" applyNumberFormat="1" applyAlignment="1">
      <alignment horizontal="center"/>
    </xf>
    <xf numFmtId="164" fontId="0" fillId="0" borderId="0" xfId="0" applyNumberFormat="1"/>
    <xf numFmtId="164" fontId="13" fillId="6" borderId="2" xfId="0" applyNumberFormat="1" applyFont="1" applyFill="1" applyBorder="1"/>
    <xf numFmtId="0" fontId="28" fillId="0" borderId="11" xfId="0" applyFont="1" applyBorder="1"/>
    <xf numFmtId="0" fontId="37" fillId="0" borderId="0" xfId="0" applyFont="1"/>
    <xf numFmtId="0" fontId="26" fillId="0" borderId="20" xfId="0" applyFont="1" applyBorder="1"/>
    <xf numFmtId="0" fontId="26" fillId="0" borderId="21" xfId="0" applyFont="1" applyBorder="1"/>
    <xf numFmtId="0" fontId="17" fillId="5" borderId="22" xfId="0" applyFont="1" applyFill="1" applyBorder="1" applyAlignment="1">
      <alignment vertical="center" wrapText="1"/>
    </xf>
    <xf numFmtId="0" fontId="14" fillId="5" borderId="1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24" xfId="0" applyFont="1" applyFill="1" applyBorder="1" applyAlignment="1">
      <alignment horizontal="left" vertical="center" wrapText="1"/>
    </xf>
    <xf numFmtId="9" fontId="13" fillId="6" borderId="1" xfId="3" applyFont="1" applyFill="1" applyBorder="1" applyAlignment="1">
      <alignment horizontal="left" vertical="center" wrapText="1"/>
    </xf>
    <xf numFmtId="0" fontId="13" fillId="6" borderId="24" xfId="0" applyFont="1" applyFill="1" applyBorder="1" applyAlignment="1">
      <alignment horizontal="left" vertical="center"/>
    </xf>
    <xf numFmtId="0" fontId="13" fillId="6" borderId="1" xfId="0" applyFont="1" applyFill="1" applyBorder="1" applyAlignment="1">
      <alignment horizontal="left"/>
    </xf>
    <xf numFmtId="0" fontId="13" fillId="6" borderId="24" xfId="0" applyFont="1" applyFill="1" applyBorder="1" applyAlignment="1">
      <alignment horizontal="left"/>
    </xf>
    <xf numFmtId="10" fontId="13" fillId="6" borderId="25" xfId="3" applyNumberFormat="1" applyFont="1" applyFill="1" applyBorder="1" applyAlignment="1">
      <alignment horizontal="left"/>
    </xf>
    <xf numFmtId="0" fontId="13" fillId="6" borderId="26" xfId="0" applyFont="1" applyFill="1" applyBorder="1" applyAlignment="1">
      <alignment horizontal="left"/>
    </xf>
    <xf numFmtId="0" fontId="13" fillId="5" borderId="22" xfId="0" applyFont="1" applyFill="1" applyBorder="1" applyAlignment="1">
      <alignment vertical="center"/>
    </xf>
    <xf numFmtId="0" fontId="13" fillId="5" borderId="27" xfId="0" applyFont="1" applyFill="1" applyBorder="1"/>
    <xf numFmtId="0" fontId="13" fillId="5" borderId="28" xfId="0" applyFont="1" applyFill="1" applyBorder="1"/>
    <xf numFmtId="0" fontId="28" fillId="0" borderId="0" xfId="0" applyFont="1" applyFill="1" applyBorder="1"/>
    <xf numFmtId="164" fontId="3" fillId="0" borderId="0" xfId="0" applyNumberFormat="1" applyFont="1" applyAlignment="1">
      <alignment horizontal="center"/>
    </xf>
    <xf numFmtId="164" fontId="3" fillId="0" borderId="0" xfId="0" applyNumberFormat="1" applyFont="1"/>
    <xf numFmtId="17" fontId="25" fillId="4" borderId="1" xfId="0" applyNumberFormat="1" applyFont="1" applyFill="1" applyBorder="1" applyAlignment="1">
      <alignment horizontal="center"/>
    </xf>
    <xf numFmtId="0" fontId="47" fillId="4" borderId="1" xfId="0" applyFont="1" applyFill="1" applyBorder="1" applyAlignment="1">
      <alignment horizontal="center"/>
    </xf>
    <xf numFmtId="0" fontId="13" fillId="4" borderId="1" xfId="0" applyFont="1" applyFill="1" applyBorder="1"/>
    <xf numFmtId="10" fontId="13" fillId="4" borderId="1" xfId="0" applyNumberFormat="1" applyFont="1" applyFill="1" applyBorder="1" applyAlignment="1">
      <alignment horizontal="center"/>
    </xf>
    <xf numFmtId="0" fontId="26" fillId="4" borderId="1" xfId="0" applyFont="1" applyFill="1" applyBorder="1" applyAlignment="1"/>
    <xf numFmtId="10" fontId="13" fillId="6" borderId="1" xfId="0" applyNumberFormat="1" applyFont="1" applyFill="1" applyBorder="1" applyAlignment="1">
      <alignment horizontal="center"/>
    </xf>
    <xf numFmtId="166" fontId="13" fillId="3" borderId="1" xfId="0" applyNumberFormat="1" applyFont="1" applyFill="1" applyBorder="1"/>
    <xf numFmtId="0" fontId="48" fillId="0" borderId="1" xfId="0" applyFont="1" applyBorder="1" applyAlignment="1">
      <alignment horizontal="center"/>
    </xf>
    <xf numFmtId="9" fontId="13" fillId="6" borderId="1" xfId="0" applyNumberFormat="1" applyFont="1" applyFill="1" applyBorder="1" applyAlignment="1">
      <alignment horizontal="center"/>
    </xf>
    <xf numFmtId="0" fontId="13" fillId="6" borderId="2" xfId="0" applyFont="1" applyFill="1" applyBorder="1" applyAlignment="1">
      <alignment horizontal="center"/>
    </xf>
    <xf numFmtId="0" fontId="38" fillId="0" borderId="0" xfId="0" applyFont="1"/>
    <xf numFmtId="2" fontId="13" fillId="4" borderId="1" xfId="0" applyNumberFormat="1" applyFont="1" applyFill="1" applyBorder="1"/>
    <xf numFmtId="0" fontId="29" fillId="0" borderId="0" xfId="0" applyFont="1" applyFill="1" applyBorder="1" applyAlignment="1">
      <alignment horizontal="left"/>
    </xf>
    <xf numFmtId="164" fontId="0" fillId="6" borderId="1" xfId="0" applyNumberFormat="1" applyFill="1" applyBorder="1"/>
    <xf numFmtId="0" fontId="3" fillId="0" borderId="1" xfId="0" applyFont="1" applyBorder="1" applyAlignment="1">
      <alignment horizontal="center" wrapText="1"/>
    </xf>
    <xf numFmtId="0" fontId="14" fillId="5" borderId="0" xfId="0" applyFont="1" applyFill="1" applyBorder="1"/>
    <xf numFmtId="0" fontId="38" fillId="5" borderId="0" xfId="0" applyFont="1" applyFill="1" applyBorder="1"/>
    <xf numFmtId="0" fontId="26" fillId="4" borderId="1" xfId="0" applyFont="1" applyFill="1" applyBorder="1"/>
    <xf numFmtId="0" fontId="28" fillId="0" borderId="1" xfId="0" applyFont="1" applyBorder="1"/>
    <xf numFmtId="0" fontId="26" fillId="0" borderId="11" xfId="0" applyFont="1" applyFill="1" applyBorder="1"/>
    <xf numFmtId="0" fontId="28" fillId="0" borderId="8" xfId="0" applyFont="1" applyBorder="1"/>
    <xf numFmtId="0" fontId="26" fillId="0" borderId="29" xfId="0" applyFont="1" applyBorder="1"/>
    <xf numFmtId="0" fontId="40" fillId="0" borderId="0" xfId="0" applyFont="1"/>
    <xf numFmtId="0" fontId="8" fillId="4" borderId="1" xfId="0" applyFont="1" applyFill="1" applyBorder="1" applyAlignment="1">
      <alignment horizontal="center"/>
    </xf>
    <xf numFmtId="9" fontId="8" fillId="4" borderId="1" xfId="0" applyNumberFormat="1" applyFont="1" applyFill="1" applyBorder="1" applyAlignment="1">
      <alignment horizontal="center"/>
    </xf>
    <xf numFmtId="0" fontId="3" fillId="0" borderId="1" xfId="0" applyFont="1" applyBorder="1"/>
    <xf numFmtId="10" fontId="48" fillId="0" borderId="30" xfId="0" applyNumberFormat="1" applyFont="1" applyBorder="1" applyAlignment="1">
      <alignment horizontal="center"/>
    </xf>
    <xf numFmtId="10" fontId="26" fillId="4" borderId="1" xfId="3" applyNumberFormat="1" applyFont="1" applyFill="1" applyBorder="1" applyAlignment="1">
      <alignment horizontal="center"/>
    </xf>
    <xf numFmtId="164" fontId="26" fillId="0" borderId="0" xfId="0" applyNumberFormat="1" applyFont="1" applyFill="1" applyBorder="1" applyAlignment="1">
      <alignment horizontal="center"/>
    </xf>
    <xf numFmtId="2" fontId="26" fillId="0" borderId="0" xfId="0" applyNumberFormat="1" applyFont="1" applyFill="1" applyBorder="1" applyAlignment="1">
      <alignment horizontal="center"/>
    </xf>
    <xf numFmtId="168" fontId="26" fillId="10" borderId="1" xfId="0" applyNumberFormat="1" applyFont="1" applyFill="1" applyBorder="1"/>
    <xf numFmtId="10" fontId="26" fillId="10" borderId="1" xfId="0" applyNumberFormat="1" applyFont="1" applyFill="1" applyBorder="1"/>
    <xf numFmtId="10" fontId="26" fillId="10" borderId="1" xfId="3" applyNumberFormat="1" applyFont="1" applyFill="1" applyBorder="1"/>
    <xf numFmtId="2" fontId="26" fillId="10" borderId="1" xfId="0" applyNumberFormat="1" applyFont="1" applyFill="1" applyBorder="1"/>
    <xf numFmtId="10" fontId="26" fillId="10" borderId="3" xfId="3" applyNumberFormat="1" applyFont="1" applyFill="1" applyBorder="1"/>
    <xf numFmtId="10" fontId="26" fillId="10" borderId="25" xfId="3" applyNumberFormat="1" applyFont="1" applyFill="1" applyBorder="1"/>
    <xf numFmtId="0" fontId="8"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44" fontId="44" fillId="0" borderId="34" xfId="2" applyFont="1" applyBorder="1"/>
    <xf numFmtId="0" fontId="51" fillId="0" borderId="35" xfId="0" applyFont="1" applyBorder="1"/>
    <xf numFmtId="0" fontId="51" fillId="0" borderId="36" xfId="0" applyFont="1" applyBorder="1"/>
    <xf numFmtId="168"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2"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2" fontId="51" fillId="0" borderId="25" xfId="2" applyNumberFormat="1" applyFont="1" applyBorder="1"/>
    <xf numFmtId="10" fontId="51" fillId="0" borderId="25" xfId="3" applyNumberFormat="1" applyFont="1" applyBorder="1" applyAlignment="1">
      <alignment horizontal="center"/>
    </xf>
    <xf numFmtId="168" fontId="51" fillId="0" borderId="33" xfId="2" applyNumberFormat="1" applyFont="1" applyFill="1" applyBorder="1"/>
    <xf numFmtId="168" fontId="51" fillId="0" borderId="6" xfId="2" applyNumberFormat="1" applyFont="1" applyFill="1" applyBorder="1"/>
    <xf numFmtId="0" fontId="51" fillId="0" borderId="6" xfId="0" applyFont="1" applyBorder="1"/>
    <xf numFmtId="0" fontId="51" fillId="0" borderId="7" xfId="0" applyFont="1" applyBorder="1"/>
    <xf numFmtId="168" fontId="51" fillId="0" borderId="1" xfId="2" applyNumberFormat="1" applyFont="1" applyFill="1" applyBorder="1"/>
    <xf numFmtId="168"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4" fontId="51" fillId="0" borderId="41" xfId="0" applyNumberFormat="1" applyFont="1" applyBorder="1" applyAlignment="1">
      <alignment horizontal="left"/>
    </xf>
    <xf numFmtId="0" fontId="50" fillId="0" borderId="42" xfId="0" applyFont="1" applyBorder="1" applyAlignment="1">
      <alignment horizontal="left"/>
    </xf>
    <xf numFmtId="172" fontId="51" fillId="0" borderId="13" xfId="2" applyNumberFormat="1" applyFont="1" applyBorder="1" applyAlignment="1">
      <alignment horizontal="left"/>
    </xf>
    <xf numFmtId="168" fontId="51" fillId="0" borderId="13" xfId="2" applyNumberFormat="1" applyFont="1" applyFill="1" applyBorder="1"/>
    <xf numFmtId="10" fontId="51" fillId="0" borderId="18" xfId="0" applyNumberFormat="1" applyFont="1" applyBorder="1" applyAlignment="1">
      <alignment horizontal="left"/>
    </xf>
    <xf numFmtId="0" fontId="39" fillId="0" borderId="1" xfId="0" applyFont="1" applyBorder="1" applyAlignment="1">
      <alignment horizontal="center"/>
    </xf>
    <xf numFmtId="0" fontId="0" fillId="4" borderId="1" xfId="0" applyFill="1" applyBorder="1"/>
    <xf numFmtId="10" fontId="13"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44" fontId="4" fillId="4" borderId="1" xfId="2" applyFont="1" applyFill="1" applyBorder="1" applyAlignment="1">
      <alignment horizontal="center"/>
    </xf>
    <xf numFmtId="0" fontId="48" fillId="4" borderId="1" xfId="0" applyFont="1" applyFill="1" applyBorder="1"/>
    <xf numFmtId="170" fontId="39"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44" fontId="53" fillId="0" borderId="0" xfId="0" applyNumberFormat="1" applyFont="1"/>
    <xf numFmtId="10" fontId="53" fillId="0" borderId="0" xfId="0" applyNumberFormat="1" applyFont="1"/>
    <xf numFmtId="44" fontId="0" fillId="0" borderId="0" xfId="0" applyNumberFormat="1"/>
    <xf numFmtId="44" fontId="41" fillId="0" borderId="0" xfId="0" applyNumberFormat="1" applyFont="1"/>
    <xf numFmtId="2" fontId="53" fillId="0" borderId="0" xfId="0" applyNumberFormat="1" applyFont="1"/>
    <xf numFmtId="44" fontId="53" fillId="0" borderId="0" xfId="2" applyFont="1"/>
    <xf numFmtId="10" fontId="53" fillId="0" borderId="0" xfId="3" applyNumberFormat="1" applyFont="1"/>
    <xf numFmtId="10" fontId="0" fillId="0" borderId="0" xfId="3" applyNumberFormat="1" applyFont="1"/>
    <xf numFmtId="169" fontId="0" fillId="0" borderId="0" xfId="0" applyNumberFormat="1"/>
    <xf numFmtId="0" fontId="42" fillId="0" borderId="13" xfId="0" applyFont="1" applyBorder="1" applyAlignment="1">
      <alignment horizontal="center"/>
    </xf>
    <xf numFmtId="0" fontId="3" fillId="0" borderId="1" xfId="0" applyFont="1" applyBorder="1" applyAlignment="1">
      <alignment horizontal="center"/>
    </xf>
    <xf numFmtId="0" fontId="3" fillId="0" borderId="0" xfId="0" applyFont="1" applyAlignment="1">
      <alignment wrapText="1"/>
    </xf>
    <xf numFmtId="10" fontId="0" fillId="4" borderId="1" xfId="0" applyNumberFormat="1" applyFill="1" applyBorder="1"/>
    <xf numFmtId="0" fontId="3" fillId="0" borderId="1" xfId="0" applyFont="1" applyFill="1" applyBorder="1" applyAlignment="1">
      <alignment horizontal="center"/>
    </xf>
    <xf numFmtId="0" fontId="63" fillId="0" borderId="0" xfId="0" applyFont="1"/>
    <xf numFmtId="0" fontId="22" fillId="0" borderId="1" xfId="0" applyFont="1" applyBorder="1"/>
    <xf numFmtId="10" fontId="23" fillId="0" borderId="1" xfId="3" applyNumberFormat="1" applyFont="1" applyBorder="1" applyAlignment="1">
      <alignment horizontal="center"/>
    </xf>
    <xf numFmtId="0" fontId="51" fillId="0" borderId="1" xfId="0" applyFont="1" applyBorder="1"/>
    <xf numFmtId="10" fontId="23" fillId="0" borderId="1" xfId="0" applyNumberFormat="1" applyFont="1" applyBorder="1" applyAlignment="1">
      <alignment horizontal="center"/>
    </xf>
    <xf numFmtId="10" fontId="4" fillId="0" borderId="1" xfId="3" applyNumberFormat="1" applyBorder="1" applyAlignment="1">
      <alignment horizontal="center"/>
    </xf>
    <xf numFmtId="0" fontId="64" fillId="0" borderId="1" xfId="0" applyFont="1" applyBorder="1" applyAlignment="1">
      <alignment horizontal="left"/>
    </xf>
    <xf numFmtId="0" fontId="65" fillId="0" borderId="1" xfId="0" applyFont="1" applyBorder="1" applyAlignment="1">
      <alignment horizontal="left"/>
    </xf>
    <xf numFmtId="0" fontId="66" fillId="0" borderId="1" xfId="0" applyFont="1" applyBorder="1" applyAlignment="1">
      <alignment horizontal="left"/>
    </xf>
    <xf numFmtId="0" fontId="46" fillId="0" borderId="1" xfId="0" applyFont="1" applyBorder="1"/>
    <xf numFmtId="0" fontId="23" fillId="0" borderId="44" xfId="0" applyFont="1" applyBorder="1" applyAlignment="1">
      <alignment horizontal="center"/>
    </xf>
    <xf numFmtId="10" fontId="67" fillId="0" borderId="30" xfId="0" applyNumberFormat="1" applyFont="1" applyBorder="1" applyAlignment="1">
      <alignment horizontal="center"/>
    </xf>
    <xf numFmtId="0" fontId="3" fillId="0" borderId="1" xfId="0" applyFont="1" applyBorder="1" applyAlignment="1">
      <alignment wrapText="1"/>
    </xf>
    <xf numFmtId="10" fontId="3" fillId="0" borderId="1" xfId="0" applyNumberFormat="1" applyFont="1" applyBorder="1" applyAlignment="1">
      <alignment horizontal="center" wrapText="1"/>
    </xf>
    <xf numFmtId="2" fontId="3" fillId="0" borderId="1" xfId="0" applyNumberFormat="1" applyFont="1" applyBorder="1" applyAlignment="1">
      <alignment horizontal="center" wrapText="1"/>
    </xf>
    <xf numFmtId="0" fontId="34" fillId="0" borderId="0" xfId="0" applyFont="1" applyAlignment="1">
      <alignment horizontal="left"/>
    </xf>
    <xf numFmtId="10" fontId="34" fillId="0" borderId="0" xfId="0" applyNumberFormat="1" applyFont="1"/>
    <xf numFmtId="2" fontId="34" fillId="0" borderId="0" xfId="0" applyNumberFormat="1" applyFont="1"/>
    <xf numFmtId="10" fontId="39" fillId="0" borderId="0" xfId="0" applyNumberFormat="1" applyFont="1"/>
    <xf numFmtId="164" fontId="26" fillId="12" borderId="0" xfId="0" applyNumberFormat="1" applyFont="1" applyFill="1" applyBorder="1" applyAlignment="1">
      <alignment horizontal="center"/>
    </xf>
    <xf numFmtId="0" fontId="68" fillId="0" borderId="1" xfId="0" applyFont="1" applyFill="1" applyBorder="1"/>
    <xf numFmtId="10" fontId="68" fillId="4" borderId="1" xfId="2" applyNumberFormat="1" applyFont="1" applyFill="1" applyBorder="1" applyAlignment="1">
      <alignment horizontal="center"/>
    </xf>
    <xf numFmtId="0" fontId="27" fillId="0" borderId="0" xfId="0" applyFont="1" applyFill="1" applyBorder="1" applyAlignment="1"/>
    <xf numFmtId="0" fontId="25" fillId="0" borderId="45" xfId="0" applyFont="1" applyBorder="1" applyAlignment="1">
      <alignment horizontal="center"/>
    </xf>
    <xf numFmtId="0" fontId="25" fillId="0" borderId="9" xfId="0" applyFont="1" applyBorder="1" applyAlignment="1">
      <alignment horizontal="center"/>
    </xf>
    <xf numFmtId="0" fontId="25" fillId="0" borderId="43" xfId="0" applyFont="1" applyBorder="1" applyAlignment="1">
      <alignment horizontal="center"/>
    </xf>
    <xf numFmtId="0" fontId="25" fillId="0" borderId="41" xfId="0" applyFont="1" applyBorder="1" applyAlignment="1">
      <alignment horizontal="center"/>
    </xf>
    <xf numFmtId="0" fontId="25" fillId="0" borderId="10" xfId="0" applyFont="1" applyFill="1" applyBorder="1" applyAlignment="1">
      <alignment horizontal="center"/>
    </xf>
    <xf numFmtId="0" fontId="25" fillId="0" borderId="6" xfId="0" applyFont="1" applyFill="1" applyBorder="1" applyAlignment="1">
      <alignment horizontal="center"/>
    </xf>
    <xf numFmtId="0" fontId="25"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21" xfId="0" applyFont="1" applyBorder="1" applyAlignment="1">
      <alignment horizontal="left" vertical="top"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2"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68" fontId="51" fillId="0" borderId="13" xfId="2" applyNumberFormat="1" applyFont="1" applyFill="1" applyBorder="1" applyAlignment="1">
      <alignment horizontal="right"/>
    </xf>
    <xf numFmtId="168"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3" fillId="11" borderId="0" xfId="0" applyFont="1" applyFill="1" applyAlignment="1">
      <alignment horizontal="center" vertical="center" wrapText="1"/>
    </xf>
    <xf numFmtId="0" fontId="3" fillId="12" borderId="1" xfId="0" applyFont="1" applyFill="1" applyBorder="1" applyAlignment="1">
      <alignment horizontal="left" vertical="top" wrapText="1"/>
    </xf>
    <xf numFmtId="164"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zoomScaleNormal="100" workbookViewId="0">
      <selection activeCell="B26" sqref="B26"/>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385</v>
      </c>
      <c r="B1" s="228">
        <v>43027</v>
      </c>
      <c r="C1" s="169" t="s">
        <v>386</v>
      </c>
      <c r="D1" s="170"/>
      <c r="E1" s="170"/>
      <c r="F1" s="170"/>
      <c r="G1" s="170"/>
      <c r="H1" s="170"/>
      <c r="I1" s="170"/>
      <c r="J1" s="171"/>
    </row>
    <row r="2" spans="1:10" s="56" customFormat="1" ht="14" thickBot="1">
      <c r="A2" s="53" t="s">
        <v>34</v>
      </c>
      <c r="B2" s="229" t="s">
        <v>773</v>
      </c>
      <c r="C2" s="209" t="s">
        <v>100</v>
      </c>
      <c r="D2" s="82"/>
      <c r="E2" s="82"/>
      <c r="F2" s="82"/>
      <c r="G2" s="82"/>
      <c r="H2" s="82"/>
      <c r="I2" s="82"/>
      <c r="J2" s="210"/>
    </row>
    <row r="3" spans="1:10" s="56" customFormat="1" ht="14" thickBot="1">
      <c r="A3" s="367" t="s">
        <v>430</v>
      </c>
      <c r="B3" s="368"/>
      <c r="C3" s="369"/>
      <c r="D3" s="369"/>
      <c r="E3" s="369"/>
      <c r="F3" s="369"/>
      <c r="G3" s="369"/>
      <c r="H3" s="369"/>
      <c r="I3" s="369"/>
      <c r="J3" s="370"/>
    </row>
    <row r="4" spans="1:10" s="56" customFormat="1" ht="13">
      <c r="A4" s="57"/>
      <c r="B4" s="57" t="s">
        <v>178</v>
      </c>
      <c r="C4" s="172" t="s">
        <v>179</v>
      </c>
      <c r="D4" s="82"/>
      <c r="E4" s="82"/>
      <c r="F4" s="82"/>
      <c r="G4" s="82"/>
      <c r="H4" s="82"/>
      <c r="I4" s="82"/>
    </row>
    <row r="5" spans="1:10" s="56" customFormat="1" ht="13">
      <c r="A5" s="156" t="s">
        <v>445</v>
      </c>
      <c r="B5" s="232" t="s">
        <v>347</v>
      </c>
      <c r="C5" s="172"/>
      <c r="D5" s="82"/>
      <c r="E5" s="82"/>
      <c r="F5" s="82"/>
      <c r="G5" s="82"/>
      <c r="H5" s="82"/>
      <c r="I5" s="82"/>
    </row>
    <row r="6" spans="1:10" s="56" customFormat="1" ht="13">
      <c r="A6" s="156" t="s">
        <v>435</v>
      </c>
      <c r="B6" s="157" t="s">
        <v>557</v>
      </c>
      <c r="C6" s="82"/>
      <c r="D6" s="82"/>
      <c r="E6" s="82"/>
      <c r="F6" s="82"/>
      <c r="G6" s="82"/>
      <c r="H6" s="82"/>
      <c r="I6" s="82"/>
    </row>
    <row r="7" spans="1:10" s="56" customFormat="1" ht="13">
      <c r="A7" s="156" t="s">
        <v>436</v>
      </c>
      <c r="B7" s="157" t="s">
        <v>557</v>
      </c>
      <c r="C7" s="246" t="s">
        <v>395</v>
      </c>
      <c r="D7" s="246" t="s">
        <v>618</v>
      </c>
      <c r="E7" s="82"/>
      <c r="F7" s="82"/>
      <c r="G7" s="82"/>
      <c r="H7" s="82"/>
      <c r="I7" s="82"/>
    </row>
    <row r="8" spans="1:10" s="56" customFormat="1" ht="13">
      <c r="A8" s="60" t="s">
        <v>11</v>
      </c>
      <c r="B8" s="61">
        <v>38121</v>
      </c>
      <c r="C8" s="85">
        <v>31272</v>
      </c>
      <c r="D8" s="245">
        <v>0.75</v>
      </c>
    </row>
    <row r="9" spans="1:10" s="56" customFormat="1" ht="13">
      <c r="A9" s="60" t="s">
        <v>29</v>
      </c>
      <c r="B9" s="61">
        <v>7989</v>
      </c>
      <c r="C9" s="85">
        <v>4548</v>
      </c>
      <c r="D9" s="245">
        <v>0.75</v>
      </c>
    </row>
    <row r="10" spans="1:10" s="56" customFormat="1" ht="13">
      <c r="A10" s="60" t="s">
        <v>438</v>
      </c>
      <c r="B10" s="85">
        <v>327</v>
      </c>
      <c r="C10" s="85">
        <v>305</v>
      </c>
      <c r="D10" s="62"/>
    </row>
    <row r="11" spans="1:10" s="56" customFormat="1" ht="13">
      <c r="A11" s="60" t="s">
        <v>30</v>
      </c>
      <c r="B11" s="61">
        <v>15733</v>
      </c>
      <c r="C11" s="85">
        <v>12944</v>
      </c>
      <c r="D11" s="62"/>
    </row>
    <row r="12" spans="1:10" s="56" customFormat="1" ht="13">
      <c r="A12" s="60" t="s">
        <v>31</v>
      </c>
      <c r="B12" s="61">
        <v>8940</v>
      </c>
      <c r="C12" s="85">
        <v>10085</v>
      </c>
      <c r="D12" s="62"/>
    </row>
    <row r="13" spans="1:10" s="56" customFormat="1" ht="13">
      <c r="A13" s="160" t="s">
        <v>425</v>
      </c>
      <c r="B13" s="198" t="s">
        <v>58</v>
      </c>
      <c r="C13" s="199" t="s">
        <v>426</v>
      </c>
      <c r="D13" s="62"/>
    </row>
    <row r="14" spans="1:10" s="56" customFormat="1" ht="13">
      <c r="A14" s="60" t="s">
        <v>244</v>
      </c>
      <c r="B14" s="85" t="s">
        <v>52</v>
      </c>
      <c r="C14" s="62" t="s">
        <v>247</v>
      </c>
      <c r="D14" s="62"/>
    </row>
    <row r="15" spans="1:10" s="56" customFormat="1" ht="13">
      <c r="A15" s="60" t="s">
        <v>601</v>
      </c>
      <c r="B15" s="85">
        <v>6638</v>
      </c>
      <c r="C15" s="85">
        <v>6145</v>
      </c>
      <c r="D15" s="62"/>
    </row>
    <row r="16" spans="1:10" s="56" customFormat="1" ht="13">
      <c r="A16" s="60" t="s">
        <v>602</v>
      </c>
      <c r="B16" s="173">
        <v>0</v>
      </c>
      <c r="C16" s="85">
        <v>0</v>
      </c>
      <c r="D16" s="62"/>
    </row>
    <row r="17" spans="1:11" s="56" customFormat="1" ht="13">
      <c r="A17" s="60" t="s">
        <v>391</v>
      </c>
      <c r="B17" s="173">
        <v>2</v>
      </c>
      <c r="C17" s="173">
        <v>7</v>
      </c>
      <c r="D17" s="62"/>
    </row>
    <row r="18" spans="1:11" s="56" customFormat="1" ht="14" thickBot="1">
      <c r="A18" s="60" t="s">
        <v>32</v>
      </c>
      <c r="B18" s="158">
        <v>310.06</v>
      </c>
      <c r="C18" s="62"/>
    </row>
    <row r="19" spans="1:11" s="56" customFormat="1" ht="13">
      <c r="A19" s="60" t="s">
        <v>33</v>
      </c>
      <c r="B19" s="61">
        <v>343.09</v>
      </c>
      <c r="C19" s="62"/>
      <c r="E19" s="86" t="s">
        <v>243</v>
      </c>
      <c r="F19" s="54"/>
      <c r="G19" s="54"/>
      <c r="H19" s="54"/>
      <c r="I19" s="54"/>
      <c r="J19" s="54"/>
      <c r="K19" s="55"/>
    </row>
    <row r="20" spans="1:11" s="56" customFormat="1" ht="13">
      <c r="A20" s="63" t="s">
        <v>104</v>
      </c>
      <c r="B20" s="64">
        <v>0.23400000000000001</v>
      </c>
      <c r="C20" s="62"/>
      <c r="E20" s="207" t="s">
        <v>429</v>
      </c>
      <c r="F20" s="82"/>
      <c r="G20" s="82"/>
      <c r="H20" s="82"/>
      <c r="I20" s="82"/>
      <c r="J20" s="82"/>
      <c r="K20" s="88"/>
    </row>
    <row r="21" spans="1:11" s="56" customFormat="1" ht="13">
      <c r="A21" s="63" t="s">
        <v>105</v>
      </c>
      <c r="B21" s="64">
        <v>0.25</v>
      </c>
      <c r="C21" s="62"/>
      <c r="E21" s="155"/>
      <c r="F21" s="82"/>
      <c r="G21" s="82"/>
      <c r="H21" s="82"/>
      <c r="I21" s="160" t="s">
        <v>239</v>
      </c>
      <c r="J21" s="160" t="s">
        <v>241</v>
      </c>
      <c r="K21" s="88" t="s">
        <v>437</v>
      </c>
    </row>
    <row r="22" spans="1:11" s="56" customFormat="1" ht="13">
      <c r="A22" s="65" t="s">
        <v>35</v>
      </c>
      <c r="B22" s="66"/>
      <c r="C22" s="62"/>
      <c r="E22" s="87" t="s">
        <v>174</v>
      </c>
      <c r="F22" s="82"/>
      <c r="G22" s="82"/>
      <c r="H22" s="82"/>
      <c r="I22" s="259">
        <f>IF(C8&gt;0,(B8/C8)^(1/D8)-1, "NA")</f>
        <v>0.30220143508489206</v>
      </c>
      <c r="J22" s="259">
        <f>VLOOKUP(B6,'Industry Average Beta (US)'!A2:S95,3)</f>
        <v>3.43967105263158E-2</v>
      </c>
      <c r="K22" s="260">
        <f>VLOOKUP(B7,'Industry Average Beta (Global)'!A2:N95,3)</f>
        <v>3.5749179030662728E-2</v>
      </c>
    </row>
    <row r="23" spans="1:11" s="56" customFormat="1" ht="13">
      <c r="A23" s="364" t="s">
        <v>769</v>
      </c>
      <c r="B23" s="365">
        <v>0.12</v>
      </c>
      <c r="C23" s="62"/>
      <c r="E23" s="87" t="s">
        <v>175</v>
      </c>
      <c r="F23" s="82"/>
      <c r="G23" s="82"/>
      <c r="H23" s="82"/>
      <c r="I23" s="259">
        <f>'Valuation output'!B4</f>
        <v>0.20926523438524697</v>
      </c>
      <c r="J23" s="260">
        <f>VLOOKUP(B6,'Industry Average Beta (US)'!A2:AA95,4)</f>
        <v>0.13074843709346179</v>
      </c>
      <c r="K23" s="260">
        <f>VLOOKUP(B7,'Industry Average Beta (Global)'!A2:N95,4)</f>
        <v>7.8180338569023941E-2</v>
      </c>
    </row>
    <row r="24" spans="1:11" s="56" customFormat="1" ht="13">
      <c r="A24" s="364" t="s">
        <v>771</v>
      </c>
      <c r="B24" s="365">
        <v>0.2</v>
      </c>
      <c r="C24" s="62"/>
      <c r="E24" s="87" t="s">
        <v>176</v>
      </c>
      <c r="F24" s="82"/>
      <c r="G24" s="82"/>
      <c r="H24" s="82"/>
      <c r="I24" s="261">
        <f>B8/'Valuation output'!B39</f>
        <v>1.6680377005137002</v>
      </c>
      <c r="J24" s="261">
        <f>VLOOKUP(B6,'Industry Average Beta (US)'!A2:S95,14)</f>
        <v>1.7786859034556404</v>
      </c>
      <c r="K24" s="261">
        <f>VLOOKUP(B7,'Industry Average Beta (Global)'!A2:N95,14)</f>
        <v>1.4056883069110573</v>
      </c>
    </row>
    <row r="25" spans="1:11" s="56" customFormat="1" ht="13">
      <c r="A25" s="60" t="s">
        <v>770</v>
      </c>
      <c r="B25" s="67">
        <v>0.06</v>
      </c>
      <c r="C25" s="62" t="s">
        <v>605</v>
      </c>
      <c r="E25" s="87" t="s">
        <v>177</v>
      </c>
      <c r="F25" s="82"/>
      <c r="G25" s="82"/>
      <c r="H25" s="82"/>
      <c r="I25" s="260">
        <f>'Valuation output'!B7/'Valuation output'!B39</f>
        <v>0.26738172207685373</v>
      </c>
      <c r="J25" s="260">
        <f>VLOOKUP(B6,'Industry Average Beta (US)'!A2:S95,5)</f>
        <v>0.21421867033781458</v>
      </c>
      <c r="K25" s="260">
        <f>VLOOKUP(B7,'Industry Average Beta (Global)'!A2:N95,5)</f>
        <v>9.5479385605646602E-2</v>
      </c>
    </row>
    <row r="26" spans="1:11" s="56" customFormat="1" ht="13">
      <c r="A26" s="60" t="s">
        <v>50</v>
      </c>
      <c r="B26" s="67">
        <v>0.17</v>
      </c>
      <c r="C26" s="62" t="s">
        <v>603</v>
      </c>
      <c r="E26" s="87" t="s">
        <v>384</v>
      </c>
      <c r="F26" s="82"/>
      <c r="G26" s="82"/>
      <c r="H26" s="82"/>
      <c r="I26" s="168"/>
      <c r="J26" s="262">
        <f>VLOOKUP(B6,'Industry Average Beta (US)'!A2:S95,10)</f>
        <v>0.34280553440309797</v>
      </c>
      <c r="K26" s="260">
        <f>VLOOKUP(B6,'Industry Average Beta (Global)'!A2:Z95,10)</f>
        <v>0.27337225140930221</v>
      </c>
    </row>
    <row r="27" spans="1:11" s="56" customFormat="1" ht="14" thickBot="1">
      <c r="A27" s="60" t="s">
        <v>679</v>
      </c>
      <c r="B27" s="68">
        <v>5</v>
      </c>
      <c r="C27" s="62" t="s">
        <v>680</v>
      </c>
      <c r="E27" s="58" t="s">
        <v>383</v>
      </c>
      <c r="F27" s="59"/>
      <c r="G27" s="59"/>
      <c r="H27" s="59"/>
      <c r="I27" s="59"/>
      <c r="J27" s="263">
        <f>VLOOKUP(B6,'Industry Average Beta (US)'!A2:S95,13)</f>
        <v>5.2204601414117639E-2</v>
      </c>
      <c r="K27" s="260">
        <f>VLOOKUP(B6,'Industry Average Beta (Global)'!A2:Z95,13)</f>
        <v>6.6475637468639326E-2</v>
      </c>
    </row>
    <row r="28" spans="1:11" s="56" customFormat="1" ht="14" thickBot="1">
      <c r="A28" s="60" t="s">
        <v>37</v>
      </c>
      <c r="B28" s="68">
        <f>I24</f>
        <v>1.6680377005137002</v>
      </c>
      <c r="C28" s="62" t="s">
        <v>604</v>
      </c>
    </row>
    <row r="29" spans="1:11" s="56" customFormat="1" ht="13">
      <c r="A29" s="65" t="s">
        <v>36</v>
      </c>
      <c r="B29" s="69"/>
      <c r="C29" s="62"/>
      <c r="E29" s="371" t="s">
        <v>606</v>
      </c>
      <c r="F29" s="372"/>
      <c r="G29" s="372"/>
      <c r="H29" s="372"/>
      <c r="I29" s="372"/>
      <c r="J29" s="373"/>
    </row>
    <row r="30" spans="1:11" s="56" customFormat="1" ht="13">
      <c r="A30" s="60" t="s">
        <v>27</v>
      </c>
      <c r="B30" s="67">
        <v>1.6E-2</v>
      </c>
      <c r="C30" s="62"/>
      <c r="E30" s="247" t="s">
        <v>607</v>
      </c>
      <c r="F30" s="63"/>
      <c r="G30" s="63"/>
      <c r="H30" s="63"/>
      <c r="I30" s="63"/>
      <c r="J30" s="258">
        <f>'Valuation output'!M3</f>
        <v>64580.9689267863</v>
      </c>
    </row>
    <row r="31" spans="1:11" s="56" customFormat="1" ht="13">
      <c r="A31" s="60" t="s">
        <v>39</v>
      </c>
      <c r="B31" s="159">
        <v>6.5000000000000002E-2</v>
      </c>
      <c r="C31" s="62"/>
      <c r="E31" s="247" t="s">
        <v>609</v>
      </c>
      <c r="F31" s="63"/>
      <c r="G31" s="63"/>
      <c r="H31" s="63"/>
      <c r="I31" s="63"/>
      <c r="J31" s="258">
        <f>'Valuation output'!M5</f>
        <v>10978.764717553671</v>
      </c>
    </row>
    <row r="32" spans="1:11" s="56" customFormat="1" ht="13">
      <c r="A32" s="65" t="s">
        <v>90</v>
      </c>
      <c r="B32" s="70"/>
      <c r="C32" s="70"/>
      <c r="D32" s="62"/>
      <c r="E32" s="247" t="s">
        <v>608</v>
      </c>
      <c r="F32" s="63"/>
      <c r="G32" s="63"/>
      <c r="H32" s="63"/>
      <c r="I32" s="63"/>
      <c r="J32" s="259">
        <f>'Valuation output'!L40</f>
        <v>0.21267480681549683</v>
      </c>
    </row>
    <row r="33" spans="1:14" s="56" customFormat="1" ht="15" thickBot="1">
      <c r="A33" s="63" t="s">
        <v>246</v>
      </c>
      <c r="B33" s="159" t="s">
        <v>52</v>
      </c>
      <c r="C33"/>
      <c r="D33" s="62"/>
      <c r="E33" s="248" t="s">
        <v>610</v>
      </c>
      <c r="F33" s="59"/>
      <c r="G33" s="59"/>
      <c r="H33" s="59"/>
      <c r="I33" s="59"/>
      <c r="J33" s="249"/>
    </row>
    <row r="34" spans="1:14" s="56" customFormat="1" ht="13">
      <c r="A34" s="63" t="s">
        <v>91</v>
      </c>
      <c r="B34" s="68">
        <v>3.5</v>
      </c>
      <c r="C34" s="257"/>
      <c r="D34" s="62"/>
    </row>
    <row r="35" spans="1:14" s="56" customFormat="1" ht="13">
      <c r="A35" s="63" t="s">
        <v>772</v>
      </c>
      <c r="B35" s="71">
        <v>18</v>
      </c>
      <c r="C35" s="256"/>
      <c r="D35" s="62"/>
    </row>
    <row r="36" spans="1:14" s="56" customFormat="1" ht="13">
      <c r="A36" s="63" t="s">
        <v>92</v>
      </c>
      <c r="B36" s="68">
        <v>5</v>
      </c>
      <c r="C36" s="257"/>
      <c r="D36" s="62"/>
    </row>
    <row r="37" spans="1:14" s="74" customFormat="1" ht="13">
      <c r="A37" s="63" t="s">
        <v>93</v>
      </c>
      <c r="B37" s="67">
        <v>0.49</v>
      </c>
      <c r="C37" s="62"/>
      <c r="D37" s="56"/>
      <c r="H37" s="56"/>
      <c r="I37" s="56"/>
      <c r="J37" s="56"/>
      <c r="K37" s="56"/>
      <c r="L37" s="56"/>
      <c r="M37" s="56"/>
      <c r="N37" s="56"/>
    </row>
    <row r="38" spans="1:14" s="56" customFormat="1" ht="13">
      <c r="A38" s="63"/>
      <c r="B38" s="72"/>
      <c r="C38" s="70"/>
      <c r="D38" s="62"/>
    </row>
    <row r="39" spans="1:14" s="56" customFormat="1" ht="13">
      <c r="A39" s="366" t="s">
        <v>106</v>
      </c>
      <c r="B39" s="366"/>
      <c r="C39" s="83"/>
      <c r="D39" s="62"/>
      <c r="N39" s="74"/>
    </row>
    <row r="40" spans="1:14" s="74" customFormat="1" ht="13">
      <c r="A40" s="73" t="s">
        <v>107</v>
      </c>
      <c r="B40" s="73"/>
      <c r="C40" s="84"/>
      <c r="D40" s="62"/>
      <c r="N40" s="56"/>
    </row>
    <row r="41" spans="1:14" s="56" customFormat="1" ht="13">
      <c r="A41" s="75" t="s">
        <v>40</v>
      </c>
      <c r="B41" s="76" t="s">
        <v>52</v>
      </c>
      <c r="C41" s="62" t="s">
        <v>55</v>
      </c>
    </row>
    <row r="42" spans="1:14" s="56" customFormat="1" ht="13">
      <c r="A42" s="75" t="s">
        <v>42</v>
      </c>
      <c r="B42" s="159">
        <v>7.0000000000000007E-2</v>
      </c>
      <c r="C42" s="62" t="s">
        <v>143</v>
      </c>
      <c r="N42" s="74"/>
    </row>
    <row r="43" spans="1:14" s="56" customFormat="1" ht="13">
      <c r="A43" s="74" t="s">
        <v>108</v>
      </c>
      <c r="B43" s="74"/>
      <c r="C43" s="62"/>
      <c r="D43" s="74"/>
      <c r="H43" s="74"/>
      <c r="I43" s="74"/>
      <c r="J43" s="74"/>
      <c r="K43" s="74"/>
      <c r="L43" s="74"/>
      <c r="M43" s="74"/>
    </row>
    <row r="44" spans="1:14" s="56" customFormat="1" ht="13">
      <c r="A44" s="56" t="s">
        <v>40</v>
      </c>
      <c r="B44" s="76" t="s">
        <v>58</v>
      </c>
      <c r="C44" s="62" t="s">
        <v>54</v>
      </c>
    </row>
    <row r="45" spans="1:14" s="56" customFormat="1" ht="13">
      <c r="A45" s="56" t="s">
        <v>41</v>
      </c>
      <c r="B45" s="77">
        <v>0.15</v>
      </c>
      <c r="C45" s="62" t="s">
        <v>144</v>
      </c>
    </row>
    <row r="46" spans="1:14" s="56" customFormat="1" ht="13">
      <c r="A46" s="74" t="s">
        <v>139</v>
      </c>
      <c r="C46" s="62"/>
    </row>
    <row r="47" spans="1:14" s="56" customFormat="1" ht="13">
      <c r="A47" s="56" t="s">
        <v>40</v>
      </c>
      <c r="B47" s="76" t="s">
        <v>52</v>
      </c>
      <c r="C47" s="62" t="s">
        <v>114</v>
      </c>
    </row>
    <row r="48" spans="1:14" s="56" customFormat="1" ht="13">
      <c r="A48" s="56" t="s">
        <v>109</v>
      </c>
      <c r="B48" s="77">
        <v>0.1</v>
      </c>
      <c r="C48" s="62" t="s">
        <v>56</v>
      </c>
    </row>
    <row r="49" spans="1:14" s="56" customFormat="1" ht="13">
      <c r="A49" s="56" t="s">
        <v>112</v>
      </c>
      <c r="B49" s="77" t="s">
        <v>102</v>
      </c>
      <c r="C49" s="62" t="s">
        <v>103</v>
      </c>
    </row>
    <row r="50" spans="1:14" s="56" customFormat="1" ht="13">
      <c r="A50" s="56" t="s">
        <v>237</v>
      </c>
      <c r="B50" s="77">
        <v>0.6</v>
      </c>
      <c r="C50" s="62" t="s">
        <v>113</v>
      </c>
    </row>
    <row r="51" spans="1:14" s="56" customFormat="1" ht="13">
      <c r="A51" s="74" t="s">
        <v>141</v>
      </c>
      <c r="B51" s="78"/>
      <c r="C51" s="62"/>
    </row>
    <row r="52" spans="1:14" s="56" customFormat="1" ht="13">
      <c r="A52" s="56" t="s">
        <v>40</v>
      </c>
      <c r="B52" s="77" t="s">
        <v>52</v>
      </c>
      <c r="C52" s="62"/>
    </row>
    <row r="53" spans="1:14" s="56" customFormat="1" ht="13">
      <c r="A53" s="74" t="s">
        <v>138</v>
      </c>
      <c r="C53" s="62"/>
    </row>
    <row r="54" spans="1:14" s="56" customFormat="1" ht="13">
      <c r="A54" s="56" t="s">
        <v>40</v>
      </c>
      <c r="B54" s="76" t="s">
        <v>52</v>
      </c>
      <c r="C54" s="62" t="s">
        <v>57</v>
      </c>
    </row>
    <row r="55" spans="1:14" s="56" customFormat="1" ht="13">
      <c r="A55" s="56" t="s">
        <v>49</v>
      </c>
      <c r="B55" s="71">
        <v>500</v>
      </c>
      <c r="C55" s="62" t="s">
        <v>145</v>
      </c>
    </row>
    <row r="56" spans="1:14" s="56" customFormat="1" ht="13">
      <c r="A56" s="56" t="s">
        <v>764</v>
      </c>
      <c r="B56" s="363"/>
      <c r="C56" s="62"/>
    </row>
    <row r="57" spans="1:14" s="56" customFormat="1" ht="13">
      <c r="A57" s="56" t="s">
        <v>40</v>
      </c>
      <c r="B57" s="71" t="s">
        <v>52</v>
      </c>
      <c r="C57" s="62" t="s">
        <v>766</v>
      </c>
    </row>
    <row r="58" spans="1:14" s="56" customFormat="1" ht="13">
      <c r="A58" s="56" t="s">
        <v>765</v>
      </c>
      <c r="B58" s="255">
        <v>0.02</v>
      </c>
      <c r="C58" s="62" t="s">
        <v>767</v>
      </c>
    </row>
    <row r="59" spans="1:14" s="250" customFormat="1" ht="13">
      <c r="A59" s="56" t="s">
        <v>614</v>
      </c>
      <c r="B59" s="256"/>
      <c r="C59" s="62"/>
      <c r="D59" s="56"/>
      <c r="H59" s="74"/>
      <c r="I59" s="74"/>
      <c r="J59" s="74"/>
      <c r="K59" s="74"/>
      <c r="L59" s="74"/>
      <c r="M59" s="74"/>
      <c r="N59" s="74"/>
    </row>
    <row r="60" spans="1:14" ht="13">
      <c r="A60" s="56" t="s">
        <v>40</v>
      </c>
      <c r="B60" s="71" t="s">
        <v>52</v>
      </c>
      <c r="C60" s="62" t="s">
        <v>768</v>
      </c>
      <c r="D60" s="56"/>
      <c r="H60" s="56"/>
      <c r="I60" s="56"/>
      <c r="J60" s="56"/>
      <c r="K60" s="56"/>
      <c r="L60" s="56"/>
      <c r="M60" s="56"/>
      <c r="N60" s="56"/>
    </row>
    <row r="61" spans="1:14" ht="13">
      <c r="A61" s="56" t="s">
        <v>615</v>
      </c>
      <c r="B61" s="255">
        <v>-0.05</v>
      </c>
      <c r="C61" s="62" t="s">
        <v>616</v>
      </c>
      <c r="D61" s="56"/>
      <c r="H61" s="56"/>
      <c r="I61" s="56"/>
      <c r="J61" s="56"/>
      <c r="K61" s="56"/>
      <c r="L61" s="56"/>
      <c r="M61" s="56"/>
    </row>
    <row r="62" spans="1:14">
      <c r="A62" s="250" t="s">
        <v>619</v>
      </c>
      <c r="B62" s="250"/>
      <c r="C62" s="250"/>
      <c r="D62" s="250"/>
    </row>
    <row r="63" spans="1:14">
      <c r="A63" s="4" t="s">
        <v>611</v>
      </c>
      <c r="B63" s="251" t="s">
        <v>52</v>
      </c>
    </row>
    <row r="64" spans="1:14" ht="13">
      <c r="A64" s="4" t="s">
        <v>622</v>
      </c>
      <c r="B64" s="183">
        <v>140000</v>
      </c>
      <c r="C64" s="265" t="s">
        <v>620</v>
      </c>
    </row>
    <row r="65" spans="1:3">
      <c r="A65" s="264" t="s">
        <v>612</v>
      </c>
      <c r="B65" s="252">
        <v>0.15</v>
      </c>
      <c r="C65" s="265" t="s">
        <v>621</v>
      </c>
    </row>
    <row r="66" spans="1:3">
      <c r="A66" s="145"/>
    </row>
  </sheetData>
  <mergeCells count="3">
    <mergeCell ref="A39:B39"/>
    <mergeCell ref="A3:J3"/>
    <mergeCell ref="E29:J29"/>
  </mergeCells>
  <phoneticPr fontId="7"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0"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premiums'!$A$5:$A$190</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B33 B41 B44 B47 B52 B54 B60 B63 B57</xm:sqref>
        </x14:dataValidation>
        <x14:dataValidation type="list" allowBlank="1" showInputMessage="1" showErrorMessage="1" xr:uid="{00000000-0002-0000-0000-000005000000}">
          <x14:formula1>
            <xm:f>'Answer keys'!$B$2:$B$3</xm:f>
          </x14:formula1>
          <xm:sqref>B49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4"/>
  <sheetViews>
    <sheetView workbookViewId="0">
      <selection activeCell="B2" sqref="B2"/>
    </sheetView>
  </sheetViews>
  <sheetFormatPr baseColWidth="10" defaultRowHeight="13"/>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6">
      <c r="A1" t="s">
        <v>729</v>
      </c>
      <c r="B1" s="342">
        <v>4.8399999999999999E-2</v>
      </c>
    </row>
    <row r="4" spans="1:6" ht="16">
      <c r="A4" s="345" t="s">
        <v>352</v>
      </c>
      <c r="B4" s="50" t="s">
        <v>681</v>
      </c>
      <c r="C4" s="345" t="s">
        <v>353</v>
      </c>
      <c r="D4" s="43" t="s">
        <v>682</v>
      </c>
      <c r="E4" s="43" t="s">
        <v>354</v>
      </c>
      <c r="F4" s="339" t="s">
        <v>613</v>
      </c>
    </row>
    <row r="5" spans="1:6" ht="16">
      <c r="A5" s="44" t="s">
        <v>484</v>
      </c>
      <c r="B5" s="50" t="s">
        <v>683</v>
      </c>
      <c r="C5" s="346">
        <v>8.2971488811027332E-3</v>
      </c>
      <c r="D5" s="346">
        <f>$B$1+E5</f>
        <v>5.8190635679701223E-2</v>
      </c>
      <c r="E5" s="348">
        <f>C5*1.18</f>
        <v>9.7906356797012248E-3</v>
      </c>
      <c r="F5" s="348">
        <v>0.55000000000000004</v>
      </c>
    </row>
    <row r="6" spans="1:6" ht="16">
      <c r="A6" s="44" t="s">
        <v>248</v>
      </c>
      <c r="B6" s="50" t="s">
        <v>684</v>
      </c>
      <c r="C6" s="346">
        <v>7.5277768939459352E-2</v>
      </c>
      <c r="D6" s="346">
        <f t="shared" ref="D6:D69" si="0">$B$1+E6</f>
        <v>0.13722776734856201</v>
      </c>
      <c r="E6" s="348">
        <f t="shared" ref="E6:E69" si="1">C6*1.18</f>
        <v>8.8827767348562028E-2</v>
      </c>
      <c r="F6" s="348">
        <v>0.15</v>
      </c>
    </row>
    <row r="7" spans="1:6" ht="16">
      <c r="A7" s="347" t="s">
        <v>685</v>
      </c>
      <c r="B7" s="50" t="s">
        <v>98</v>
      </c>
      <c r="C7" s="287">
        <v>0.10876807896863765</v>
      </c>
      <c r="D7" s="346">
        <f t="shared" si="0"/>
        <v>0.1767463331829924</v>
      </c>
      <c r="E7" s="348">
        <f t="shared" si="1"/>
        <v>0.12834633318299241</v>
      </c>
      <c r="F7" s="349">
        <v>0.26</v>
      </c>
    </row>
    <row r="8" spans="1:6" ht="16">
      <c r="A8" s="44" t="s">
        <v>502</v>
      </c>
      <c r="B8" s="50" t="s">
        <v>686</v>
      </c>
      <c r="C8" s="346">
        <v>3.1830880252957758E-2</v>
      </c>
      <c r="D8" s="346">
        <f t="shared" si="0"/>
        <v>8.5960438698490155E-2</v>
      </c>
      <c r="E8" s="348">
        <f t="shared" si="1"/>
        <v>3.7560438698490149E-2</v>
      </c>
      <c r="F8" s="348">
        <v>0.1</v>
      </c>
    </row>
    <row r="9" spans="1:6" ht="16">
      <c r="A9" s="44" t="s">
        <v>249</v>
      </c>
      <c r="B9" s="50" t="s">
        <v>696</v>
      </c>
      <c r="C9" s="346">
        <v>0.10876807896863763</v>
      </c>
      <c r="D9" s="346">
        <f t="shared" si="0"/>
        <v>0.1767463331829924</v>
      </c>
      <c r="E9" s="348">
        <f t="shared" si="1"/>
        <v>0.12834633318299241</v>
      </c>
      <c r="F9" s="348">
        <v>0.3</v>
      </c>
    </row>
    <row r="10" spans="1:6" ht="16">
      <c r="A10" s="350" t="s">
        <v>744</v>
      </c>
      <c r="B10" s="50" t="s">
        <v>98</v>
      </c>
      <c r="C10" s="3">
        <v>9.1901843768762981E-2</v>
      </c>
      <c r="D10" s="346">
        <f t="shared" si="0"/>
        <v>0.15684417564714032</v>
      </c>
      <c r="E10" s="348">
        <f t="shared" si="1"/>
        <v>0.10844417564714032</v>
      </c>
      <c r="F10" s="348">
        <v>0.23880784381827033</v>
      </c>
    </row>
    <row r="11" spans="1:6" ht="16">
      <c r="A11" s="350" t="s">
        <v>745</v>
      </c>
      <c r="B11" s="50" t="s">
        <v>98</v>
      </c>
      <c r="C11" s="3">
        <v>9.1901843768762981E-2</v>
      </c>
      <c r="D11" s="346">
        <f t="shared" si="0"/>
        <v>0.15684417564714032</v>
      </c>
      <c r="E11" s="348">
        <f t="shared" si="1"/>
        <v>0.10844417564714032</v>
      </c>
      <c r="F11" s="348">
        <v>0.23880784381827033</v>
      </c>
    </row>
    <row r="12" spans="1:6" ht="16">
      <c r="A12" s="44" t="s">
        <v>250</v>
      </c>
      <c r="B12" s="50" t="s">
        <v>701</v>
      </c>
      <c r="C12" s="346">
        <v>0.1505555378789187</v>
      </c>
      <c r="D12" s="346">
        <f t="shared" si="0"/>
        <v>0.22605553469712406</v>
      </c>
      <c r="E12" s="348">
        <f t="shared" si="1"/>
        <v>0.17765553469712406</v>
      </c>
      <c r="F12" s="348">
        <v>0.3</v>
      </c>
    </row>
    <row r="13" spans="1:6" ht="16">
      <c r="A13" s="44" t="s">
        <v>251</v>
      </c>
      <c r="B13" s="50" t="s">
        <v>693</v>
      </c>
      <c r="C13" s="346">
        <v>6.0192043701090742E-2</v>
      </c>
      <c r="D13" s="346">
        <f t="shared" si="0"/>
        <v>0.11942661156728707</v>
      </c>
      <c r="E13" s="348">
        <f t="shared" si="1"/>
        <v>7.1026611567287068E-2</v>
      </c>
      <c r="F13" s="348">
        <v>0.2</v>
      </c>
    </row>
    <row r="14" spans="1:6" ht="16">
      <c r="A14" s="44" t="s">
        <v>252</v>
      </c>
      <c r="B14" s="50" t="s">
        <v>688</v>
      </c>
      <c r="C14" s="346">
        <v>2.6701733671912434E-2</v>
      </c>
      <c r="D14" s="346">
        <f t="shared" si="0"/>
        <v>7.9908045732856675E-2</v>
      </c>
      <c r="E14" s="348">
        <f t="shared" si="1"/>
        <v>3.150804573285667E-2</v>
      </c>
      <c r="F14" s="348">
        <v>0.25</v>
      </c>
    </row>
    <row r="15" spans="1:6" ht="16">
      <c r="A15" s="44" t="s">
        <v>253</v>
      </c>
      <c r="B15" s="50" t="s">
        <v>689</v>
      </c>
      <c r="C15" s="346">
        <v>0</v>
      </c>
      <c r="D15" s="346">
        <f t="shared" si="0"/>
        <v>4.8399999999999999E-2</v>
      </c>
      <c r="E15" s="348">
        <f t="shared" si="1"/>
        <v>0</v>
      </c>
      <c r="F15" s="348">
        <v>0.3</v>
      </c>
    </row>
    <row r="16" spans="1:6" ht="16">
      <c r="A16" s="44" t="s">
        <v>254</v>
      </c>
      <c r="B16" s="50" t="s">
        <v>690</v>
      </c>
      <c r="C16" s="346">
        <v>6.6377191048821857E-3</v>
      </c>
      <c r="D16" s="346">
        <f t="shared" si="0"/>
        <v>5.6232508543760981E-2</v>
      </c>
      <c r="E16" s="348">
        <f t="shared" si="1"/>
        <v>7.8325085437609791E-3</v>
      </c>
      <c r="F16" s="348">
        <v>0.25</v>
      </c>
    </row>
    <row r="17" spans="1:6" ht="16">
      <c r="A17" s="44" t="s">
        <v>361</v>
      </c>
      <c r="B17" s="50" t="s">
        <v>691</v>
      </c>
      <c r="C17" s="346">
        <v>5.0235465043767448E-2</v>
      </c>
      <c r="D17" s="346">
        <f t="shared" si="0"/>
        <v>0.10767784875164559</v>
      </c>
      <c r="E17" s="348">
        <f t="shared" si="1"/>
        <v>5.9277848751645587E-2</v>
      </c>
      <c r="F17" s="348">
        <v>0.2</v>
      </c>
    </row>
    <row r="18" spans="1:6" ht="16">
      <c r="A18" s="44" t="s">
        <v>255</v>
      </c>
      <c r="B18" s="50" t="s">
        <v>692</v>
      </c>
      <c r="C18" s="346">
        <v>3.6809169581619394E-2</v>
      </c>
      <c r="D18" s="346">
        <f t="shared" si="0"/>
        <v>9.1834820106310888E-2</v>
      </c>
      <c r="E18" s="348">
        <f t="shared" si="1"/>
        <v>4.3434820106310883E-2</v>
      </c>
      <c r="F18" s="348">
        <v>0</v>
      </c>
    </row>
    <row r="19" spans="1:6" ht="16">
      <c r="A19" s="44" t="s">
        <v>256</v>
      </c>
      <c r="B19" s="50" t="s">
        <v>687</v>
      </c>
      <c r="C19" s="346">
        <v>9.2022923954048486E-2</v>
      </c>
      <c r="D19" s="346">
        <f t="shared" si="0"/>
        <v>0.15698705026577719</v>
      </c>
      <c r="E19" s="348">
        <f t="shared" si="1"/>
        <v>0.10858705026577721</v>
      </c>
      <c r="F19" s="348">
        <v>0</v>
      </c>
    </row>
    <row r="20" spans="1:6" ht="16">
      <c r="A20" s="44" t="s">
        <v>257</v>
      </c>
      <c r="B20" s="50" t="s">
        <v>693</v>
      </c>
      <c r="C20" s="346">
        <v>6.0192043701090742E-2</v>
      </c>
      <c r="D20" s="346">
        <f t="shared" si="0"/>
        <v>0.11942661156728707</v>
      </c>
      <c r="E20" s="348">
        <f t="shared" si="1"/>
        <v>7.1026611567287068E-2</v>
      </c>
      <c r="F20" s="348">
        <v>0.25</v>
      </c>
    </row>
    <row r="21" spans="1:6" ht="16">
      <c r="A21" s="44" t="s">
        <v>258</v>
      </c>
      <c r="B21" s="50" t="s">
        <v>694</v>
      </c>
      <c r="C21" s="346">
        <v>0.12536237673084313</v>
      </c>
      <c r="D21" s="346">
        <f t="shared" si="0"/>
        <v>0.1963276045423949</v>
      </c>
      <c r="E21" s="348">
        <f t="shared" si="1"/>
        <v>0.1479276045423949</v>
      </c>
      <c r="F21" s="348">
        <v>5.5E-2</v>
      </c>
    </row>
    <row r="22" spans="1:6" ht="16">
      <c r="A22" s="44" t="s">
        <v>259</v>
      </c>
      <c r="B22" s="50" t="s">
        <v>696</v>
      </c>
      <c r="C22" s="346">
        <v>0.10876807896863763</v>
      </c>
      <c r="D22" s="346">
        <f t="shared" si="0"/>
        <v>0.1767463331829924</v>
      </c>
      <c r="E22" s="348">
        <f t="shared" si="1"/>
        <v>0.12834633318299241</v>
      </c>
      <c r="F22" s="348">
        <v>0.18</v>
      </c>
    </row>
    <row r="23" spans="1:6" ht="16">
      <c r="A23" s="44" t="s">
        <v>260</v>
      </c>
      <c r="B23" s="50" t="s">
        <v>695</v>
      </c>
      <c r="C23" s="346">
        <v>1.0107435909706966E-2</v>
      </c>
      <c r="D23" s="346">
        <f t="shared" si="0"/>
        <v>6.0326774373454219E-2</v>
      </c>
      <c r="E23" s="348">
        <f t="shared" si="1"/>
        <v>1.1926774373454218E-2</v>
      </c>
      <c r="F23" s="348">
        <v>0.28999999999999998</v>
      </c>
    </row>
    <row r="24" spans="1:6" ht="16">
      <c r="A24" s="44" t="s">
        <v>364</v>
      </c>
      <c r="B24" s="50" t="s">
        <v>696</v>
      </c>
      <c r="C24" s="346">
        <v>0.10876807896863763</v>
      </c>
      <c r="D24" s="346">
        <f t="shared" si="0"/>
        <v>0.1767463331829924</v>
      </c>
      <c r="E24" s="348">
        <f t="shared" si="1"/>
        <v>0.12834633318299241</v>
      </c>
      <c r="F24" s="348">
        <v>0.3236</v>
      </c>
    </row>
    <row r="25" spans="1:6" ht="16">
      <c r="A25" s="44" t="s">
        <v>697</v>
      </c>
      <c r="B25" s="50" t="s">
        <v>687</v>
      </c>
      <c r="C25" s="346">
        <v>9.2022923954048486E-2</v>
      </c>
      <c r="D25" s="346">
        <f t="shared" si="0"/>
        <v>0.15698705026577719</v>
      </c>
      <c r="E25" s="348">
        <f t="shared" si="1"/>
        <v>0.10858705026577721</v>
      </c>
      <c r="F25" s="348">
        <v>0.3</v>
      </c>
    </row>
    <row r="26" spans="1:6" ht="16">
      <c r="A26" s="44" t="s">
        <v>261</v>
      </c>
      <c r="B26" s="50" t="s">
        <v>698</v>
      </c>
      <c r="C26" s="346">
        <v>1.4180581724066488E-2</v>
      </c>
      <c r="D26" s="346">
        <f t="shared" si="0"/>
        <v>6.5133086434398454E-2</v>
      </c>
      <c r="E26" s="348">
        <f t="shared" si="1"/>
        <v>1.6733086434398456E-2</v>
      </c>
      <c r="F26" s="348">
        <v>0</v>
      </c>
    </row>
    <row r="27" spans="1:6" ht="16">
      <c r="A27" s="44" t="s">
        <v>262</v>
      </c>
      <c r="B27" s="50" t="s">
        <v>693</v>
      </c>
      <c r="C27" s="346">
        <v>6.0192043701090742E-2</v>
      </c>
      <c r="D27" s="346">
        <f t="shared" si="0"/>
        <v>0.11942661156728707</v>
      </c>
      <c r="E27" s="348">
        <f t="shared" si="1"/>
        <v>7.1026611567287068E-2</v>
      </c>
      <c r="F27" s="348">
        <v>0.25</v>
      </c>
    </row>
    <row r="28" spans="1:6" ht="16">
      <c r="A28" s="44" t="s">
        <v>263</v>
      </c>
      <c r="B28" s="50" t="s">
        <v>696</v>
      </c>
      <c r="C28" s="346">
        <v>0.10876807896863763</v>
      </c>
      <c r="D28" s="346">
        <f t="shared" si="0"/>
        <v>0.1767463331829924</v>
      </c>
      <c r="E28" s="348">
        <f t="shared" si="1"/>
        <v>0.12834633318299241</v>
      </c>
      <c r="F28" s="348">
        <v>0.1</v>
      </c>
    </row>
    <row r="29" spans="1:6" ht="16">
      <c r="A29" s="44" t="s">
        <v>264</v>
      </c>
      <c r="B29" s="50" t="s">
        <v>698</v>
      </c>
      <c r="C29" s="346">
        <v>1.4180581724066488E-2</v>
      </c>
      <c r="D29" s="346">
        <f t="shared" si="0"/>
        <v>6.5133086434398454E-2</v>
      </c>
      <c r="E29" s="348">
        <f t="shared" si="1"/>
        <v>1.6733086434398456E-2</v>
      </c>
      <c r="F29" s="287">
        <v>0.22</v>
      </c>
    </row>
    <row r="30" spans="1:6" ht="16">
      <c r="A30" s="44" t="s">
        <v>265</v>
      </c>
      <c r="B30" s="50" t="s">
        <v>691</v>
      </c>
      <c r="C30" s="346">
        <v>5.0235465043767448E-2</v>
      </c>
      <c r="D30" s="346">
        <f t="shared" si="0"/>
        <v>0.10767784875164559</v>
      </c>
      <c r="E30" s="348">
        <f t="shared" si="1"/>
        <v>5.9277848751645587E-2</v>
      </c>
      <c r="F30" s="348">
        <v>0.34</v>
      </c>
    </row>
    <row r="31" spans="1:6" ht="16">
      <c r="A31" s="351" t="s">
        <v>746</v>
      </c>
      <c r="B31" s="50" t="s">
        <v>98</v>
      </c>
      <c r="C31" s="3">
        <v>9.1901843768762981E-2</v>
      </c>
      <c r="D31" s="346">
        <f t="shared" si="0"/>
        <v>0.15684417564714032</v>
      </c>
      <c r="E31" s="348">
        <f t="shared" si="1"/>
        <v>0.10844417564714032</v>
      </c>
      <c r="F31" s="348">
        <v>0.23880784381827033</v>
      </c>
    </row>
    <row r="32" spans="1:6" ht="16">
      <c r="A32" s="347" t="s">
        <v>699</v>
      </c>
      <c r="B32" s="50" t="s">
        <v>98</v>
      </c>
      <c r="C32" s="287">
        <v>6.6377191048821813E-3</v>
      </c>
      <c r="D32" s="346">
        <f t="shared" si="0"/>
        <v>5.6232508543760974E-2</v>
      </c>
      <c r="E32" s="348">
        <f t="shared" si="1"/>
        <v>7.8325085437609739E-3</v>
      </c>
      <c r="F32" s="348">
        <v>0.185</v>
      </c>
    </row>
    <row r="33" spans="1:6" ht="16">
      <c r="A33" s="44" t="s">
        <v>266</v>
      </c>
      <c r="B33" s="50" t="s">
        <v>686</v>
      </c>
      <c r="C33" s="346">
        <v>3.1830880252957758E-2</v>
      </c>
      <c r="D33" s="346">
        <f t="shared" si="0"/>
        <v>8.5960438698490155E-2</v>
      </c>
      <c r="E33" s="348">
        <f t="shared" si="1"/>
        <v>3.7560438698490149E-2</v>
      </c>
      <c r="F33" s="348">
        <v>0.1</v>
      </c>
    </row>
    <row r="34" spans="1:6" ht="16">
      <c r="A34" s="44" t="s">
        <v>485</v>
      </c>
      <c r="B34" s="50" t="s">
        <v>687</v>
      </c>
      <c r="C34" s="346">
        <v>9.2022923954048486E-2</v>
      </c>
      <c r="D34" s="346">
        <f t="shared" si="0"/>
        <v>0.15698705026577719</v>
      </c>
      <c r="E34" s="348">
        <f t="shared" si="1"/>
        <v>0.10858705026577721</v>
      </c>
      <c r="F34" s="348">
        <v>0.28000000000000003</v>
      </c>
    </row>
    <row r="35" spans="1:6" ht="16">
      <c r="A35" s="44" t="s">
        <v>267</v>
      </c>
      <c r="B35" s="50" t="s">
        <v>687</v>
      </c>
      <c r="C35" s="346">
        <v>9.2022923954048486E-2</v>
      </c>
      <c r="D35" s="346">
        <f t="shared" si="0"/>
        <v>0.15698705026577719</v>
      </c>
      <c r="E35" s="348">
        <f t="shared" si="1"/>
        <v>0.10858705026577721</v>
      </c>
      <c r="F35" s="348">
        <v>0.2</v>
      </c>
    </row>
    <row r="36" spans="1:6" ht="16">
      <c r="A36" s="44" t="s">
        <v>486</v>
      </c>
      <c r="B36" s="50" t="s">
        <v>687</v>
      </c>
      <c r="C36" s="346">
        <v>9.2022923954048486E-2</v>
      </c>
      <c r="D36" s="346">
        <f t="shared" si="0"/>
        <v>0.15698705026577719</v>
      </c>
      <c r="E36" s="348">
        <f t="shared" si="1"/>
        <v>0.10858705026577721</v>
      </c>
      <c r="F36" s="348">
        <v>0.33</v>
      </c>
    </row>
    <row r="37" spans="1:6" ht="16">
      <c r="A37" s="44" t="s">
        <v>268</v>
      </c>
      <c r="B37" s="50" t="s">
        <v>689</v>
      </c>
      <c r="C37" s="346">
        <v>0</v>
      </c>
      <c r="D37" s="346">
        <f t="shared" si="0"/>
        <v>4.8399999999999999E-2</v>
      </c>
      <c r="E37" s="348">
        <f t="shared" si="1"/>
        <v>0</v>
      </c>
      <c r="F37" s="348">
        <v>0.26500000000000001</v>
      </c>
    </row>
    <row r="38" spans="1:6" ht="16">
      <c r="A38" s="44" t="s">
        <v>487</v>
      </c>
      <c r="B38" s="50" t="s">
        <v>687</v>
      </c>
      <c r="C38" s="346">
        <v>9.2022923954048486E-2</v>
      </c>
      <c r="D38" s="346">
        <f t="shared" si="0"/>
        <v>0.15698705026577719</v>
      </c>
      <c r="E38" s="348">
        <f t="shared" si="1"/>
        <v>0.10858705026577721</v>
      </c>
      <c r="F38" s="348">
        <v>0</v>
      </c>
    </row>
    <row r="39" spans="1:6" ht="16">
      <c r="A39" s="44" t="s">
        <v>269</v>
      </c>
      <c r="B39" s="50" t="s">
        <v>695</v>
      </c>
      <c r="C39" s="346">
        <v>1.0107435909706966E-2</v>
      </c>
      <c r="D39" s="346">
        <f t="shared" si="0"/>
        <v>6.0326774373454219E-2</v>
      </c>
      <c r="E39" s="348">
        <f t="shared" si="1"/>
        <v>1.1926774373454218E-2</v>
      </c>
      <c r="F39" s="348">
        <v>0</v>
      </c>
    </row>
    <row r="40" spans="1:6" ht="16">
      <c r="A40" s="352" t="s">
        <v>747</v>
      </c>
      <c r="B40" s="50" t="s">
        <v>98</v>
      </c>
      <c r="C40" s="3">
        <v>1.3748484866181051E-2</v>
      </c>
      <c r="D40" s="346">
        <f t="shared" si="0"/>
        <v>6.4623212142093642E-2</v>
      </c>
      <c r="E40" s="348">
        <f t="shared" si="1"/>
        <v>1.622321214209364E-2</v>
      </c>
      <c r="F40" s="348">
        <v>0.25037012452417917</v>
      </c>
    </row>
    <row r="41" spans="1:6" ht="16">
      <c r="A41" s="44" t="s">
        <v>270</v>
      </c>
      <c r="B41" s="50" t="s">
        <v>700</v>
      </c>
      <c r="C41" s="346">
        <v>1.1766865685927512E-2</v>
      </c>
      <c r="D41" s="346">
        <f t="shared" si="0"/>
        <v>6.2284901509394461E-2</v>
      </c>
      <c r="E41" s="348">
        <f t="shared" si="1"/>
        <v>1.3884901509394464E-2</v>
      </c>
      <c r="F41" s="348">
        <v>0.27</v>
      </c>
    </row>
    <row r="42" spans="1:6" ht="16">
      <c r="A42" s="44" t="s">
        <v>271</v>
      </c>
      <c r="B42" s="50" t="s">
        <v>700</v>
      </c>
      <c r="C42" s="346">
        <v>1.1766865685927512E-2</v>
      </c>
      <c r="D42" s="346">
        <f t="shared" si="0"/>
        <v>6.2284901509394461E-2</v>
      </c>
      <c r="E42" s="348">
        <f t="shared" si="1"/>
        <v>1.3884901509394464E-2</v>
      </c>
      <c r="F42" s="348">
        <v>0.25</v>
      </c>
    </row>
    <row r="43" spans="1:6" ht="16">
      <c r="A43" s="44" t="s">
        <v>272</v>
      </c>
      <c r="B43" s="50" t="s">
        <v>686</v>
      </c>
      <c r="C43" s="346">
        <v>3.1830880252957758E-2</v>
      </c>
      <c r="D43" s="346">
        <f t="shared" si="0"/>
        <v>8.5960438698490155E-2</v>
      </c>
      <c r="E43" s="348">
        <f t="shared" si="1"/>
        <v>3.7560438698490149E-2</v>
      </c>
      <c r="F43" s="348">
        <v>0.33</v>
      </c>
    </row>
    <row r="44" spans="1:6" ht="16">
      <c r="A44" s="44" t="s">
        <v>503</v>
      </c>
      <c r="B44" s="50" t="s">
        <v>694</v>
      </c>
      <c r="C44" s="346">
        <v>0.12536237673084313</v>
      </c>
      <c r="D44" s="346">
        <f t="shared" si="0"/>
        <v>0.1963276045423949</v>
      </c>
      <c r="E44" s="348">
        <f t="shared" si="1"/>
        <v>0.1479276045423949</v>
      </c>
      <c r="F44" s="348">
        <v>0.35</v>
      </c>
    </row>
    <row r="45" spans="1:6" ht="16">
      <c r="A45" s="44" t="s">
        <v>504</v>
      </c>
      <c r="B45" s="50" t="s">
        <v>701</v>
      </c>
      <c r="C45" s="346">
        <v>0.1505555378789187</v>
      </c>
      <c r="D45" s="346">
        <f t="shared" si="0"/>
        <v>0.22605553469712406</v>
      </c>
      <c r="E45" s="348">
        <f t="shared" si="1"/>
        <v>0.17765553469712406</v>
      </c>
      <c r="F45" s="348">
        <v>0.3236</v>
      </c>
    </row>
    <row r="46" spans="1:6" ht="16">
      <c r="A46" s="44" t="s">
        <v>488</v>
      </c>
      <c r="B46" s="50" t="s">
        <v>684</v>
      </c>
      <c r="C46" s="346">
        <v>7.5277768939459352E-2</v>
      </c>
      <c r="D46" s="346">
        <f t="shared" si="0"/>
        <v>0.13722776734856201</v>
      </c>
      <c r="E46" s="348">
        <f t="shared" si="1"/>
        <v>8.8827767348562028E-2</v>
      </c>
      <c r="F46" s="348">
        <v>0.2843</v>
      </c>
    </row>
    <row r="47" spans="1:6" ht="16">
      <c r="A47" s="44" t="s">
        <v>273</v>
      </c>
      <c r="B47" s="50" t="s">
        <v>684</v>
      </c>
      <c r="C47" s="346">
        <v>7.5277768939459352E-2</v>
      </c>
      <c r="D47" s="346">
        <f t="shared" si="0"/>
        <v>0.13722776734856201</v>
      </c>
      <c r="E47" s="348">
        <f t="shared" si="1"/>
        <v>8.8827767348562028E-2</v>
      </c>
      <c r="F47" s="348">
        <v>0.3</v>
      </c>
    </row>
    <row r="48" spans="1:6" ht="16">
      <c r="A48" s="44" t="s">
        <v>274</v>
      </c>
      <c r="B48" s="50" t="s">
        <v>691</v>
      </c>
      <c r="C48" s="346">
        <v>5.0235465043767448E-2</v>
      </c>
      <c r="D48" s="346">
        <f t="shared" si="0"/>
        <v>0.10767784875164559</v>
      </c>
      <c r="E48" s="348">
        <f t="shared" si="1"/>
        <v>5.9277848751645587E-2</v>
      </c>
      <c r="F48" s="348">
        <v>0.18</v>
      </c>
    </row>
    <row r="49" spans="1:6" ht="16">
      <c r="A49" s="44" t="s">
        <v>366</v>
      </c>
      <c r="B49" s="50" t="s">
        <v>701</v>
      </c>
      <c r="C49" s="346">
        <v>0.1505555378789187</v>
      </c>
      <c r="D49" s="346">
        <f t="shared" si="0"/>
        <v>0.22605553469712406</v>
      </c>
      <c r="E49" s="348">
        <f t="shared" si="1"/>
        <v>0.17765553469712406</v>
      </c>
      <c r="F49" s="348">
        <v>0.27239999999999998</v>
      </c>
    </row>
    <row r="50" spans="1:6" ht="16">
      <c r="A50" s="351" t="s">
        <v>748</v>
      </c>
      <c r="B50" s="50" t="s">
        <v>688</v>
      </c>
      <c r="C50" s="346">
        <v>2.6701733671912434E-2</v>
      </c>
      <c r="D50" s="346">
        <f t="shared" si="0"/>
        <v>7.9908045732856675E-2</v>
      </c>
      <c r="E50" s="348">
        <f t="shared" si="1"/>
        <v>3.150804573285667E-2</v>
      </c>
      <c r="F50" s="348">
        <v>0.22</v>
      </c>
    </row>
    <row r="51" spans="1:6" ht="16">
      <c r="A51" s="44" t="s">
        <v>275</v>
      </c>
      <c r="B51" s="50" t="s">
        <v>691</v>
      </c>
      <c r="C51" s="346">
        <v>5.0235465043767448E-2</v>
      </c>
      <c r="D51" s="346">
        <f t="shared" si="0"/>
        <v>0.10767784875164559</v>
      </c>
      <c r="E51" s="348">
        <f t="shared" si="1"/>
        <v>5.9277848751645587E-2</v>
      </c>
      <c r="F51" s="348">
        <v>0.125</v>
      </c>
    </row>
    <row r="52" spans="1:6" ht="16">
      <c r="A52" s="44" t="s">
        <v>276</v>
      </c>
      <c r="B52" s="50" t="s">
        <v>695</v>
      </c>
      <c r="C52" s="346">
        <v>1.0107435909706966E-2</v>
      </c>
      <c r="D52" s="346">
        <f t="shared" si="0"/>
        <v>6.0326774373454219E-2</v>
      </c>
      <c r="E52" s="348">
        <f t="shared" si="1"/>
        <v>1.1926774373454218E-2</v>
      </c>
      <c r="F52" s="348">
        <v>0.19</v>
      </c>
    </row>
    <row r="53" spans="1:6" ht="16">
      <c r="A53" s="44" t="s">
        <v>277</v>
      </c>
      <c r="B53" s="50" t="s">
        <v>689</v>
      </c>
      <c r="C53" s="346">
        <v>0</v>
      </c>
      <c r="D53" s="346">
        <f t="shared" si="0"/>
        <v>4.8399999999999999E-2</v>
      </c>
      <c r="E53" s="348">
        <f t="shared" si="1"/>
        <v>0</v>
      </c>
      <c r="F53" s="348">
        <v>0.22</v>
      </c>
    </row>
    <row r="54" spans="1:6" ht="16">
      <c r="A54" s="44" t="s">
        <v>278</v>
      </c>
      <c r="B54" s="50" t="s">
        <v>693</v>
      </c>
      <c r="C54" s="346">
        <v>6.0192043701090742E-2</v>
      </c>
      <c r="D54" s="346">
        <f t="shared" si="0"/>
        <v>0.11942661156728707</v>
      </c>
      <c r="E54" s="348">
        <f t="shared" si="1"/>
        <v>7.1026611567287068E-2</v>
      </c>
      <c r="F54" s="348">
        <v>0.27</v>
      </c>
    </row>
    <row r="55" spans="1:6" ht="16">
      <c r="A55" s="44" t="s">
        <v>279</v>
      </c>
      <c r="B55" s="50" t="s">
        <v>696</v>
      </c>
      <c r="C55" s="346">
        <v>0.10876807896863763</v>
      </c>
      <c r="D55" s="346">
        <f t="shared" si="0"/>
        <v>0.1767463331829924</v>
      </c>
      <c r="E55" s="348">
        <f t="shared" si="1"/>
        <v>0.12834633318299241</v>
      </c>
      <c r="F55" s="348">
        <v>0.25</v>
      </c>
    </row>
    <row r="56" spans="1:6" ht="16">
      <c r="A56" s="44" t="s">
        <v>280</v>
      </c>
      <c r="B56" s="50" t="s">
        <v>687</v>
      </c>
      <c r="C56" s="346">
        <v>9.2022923954048486E-2</v>
      </c>
      <c r="D56" s="346">
        <f t="shared" si="0"/>
        <v>0.15698705026577719</v>
      </c>
      <c r="E56" s="348">
        <f t="shared" si="1"/>
        <v>0.10858705026577721</v>
      </c>
      <c r="F56" s="348">
        <v>0.22500000000000001</v>
      </c>
    </row>
    <row r="57" spans="1:6" ht="16">
      <c r="A57" s="44" t="s">
        <v>367</v>
      </c>
      <c r="B57" s="50" t="s">
        <v>696</v>
      </c>
      <c r="C57" s="346">
        <v>0.15060000000000001</v>
      </c>
      <c r="D57" s="346">
        <f t="shared" si="0"/>
        <v>0.226108</v>
      </c>
      <c r="E57" s="348">
        <f t="shared" si="1"/>
        <v>0.177708</v>
      </c>
      <c r="F57" s="348">
        <v>0.3</v>
      </c>
    </row>
    <row r="58" spans="1:6" ht="16">
      <c r="A58" s="44" t="s">
        <v>281</v>
      </c>
      <c r="B58" s="50" t="s">
        <v>700</v>
      </c>
      <c r="C58" s="346">
        <v>1.1766865685927512E-2</v>
      </c>
      <c r="D58" s="346">
        <f t="shared" si="0"/>
        <v>6.2284901509394461E-2</v>
      </c>
      <c r="E58" s="348">
        <f t="shared" si="1"/>
        <v>1.3884901509394464E-2</v>
      </c>
      <c r="F58" s="348">
        <v>0.2</v>
      </c>
    </row>
    <row r="59" spans="1:6" ht="16">
      <c r="A59" s="44" t="s">
        <v>505</v>
      </c>
      <c r="B59" s="50" t="s">
        <v>684</v>
      </c>
      <c r="C59" s="346">
        <v>7.5277768939459352E-2</v>
      </c>
      <c r="D59" s="346">
        <f t="shared" si="0"/>
        <v>0.13722776734856201</v>
      </c>
      <c r="E59" s="348">
        <f t="shared" si="1"/>
        <v>8.8827767348562028E-2</v>
      </c>
      <c r="F59" s="348">
        <v>0.3</v>
      </c>
    </row>
    <row r="60" spans="1:6" ht="16">
      <c r="A60" s="352" t="s">
        <v>749</v>
      </c>
      <c r="B60" s="50" t="s">
        <v>98</v>
      </c>
      <c r="C60" s="3">
        <v>5.4828992789326368E-2</v>
      </c>
      <c r="D60" s="346">
        <f t="shared" si="0"/>
        <v>0.11309821149140512</v>
      </c>
      <c r="E60" s="348">
        <f t="shared" si="1"/>
        <v>6.4698211491405117E-2</v>
      </c>
      <c r="F60" s="348">
        <v>0.31023134428419324</v>
      </c>
    </row>
    <row r="61" spans="1:6" ht="16">
      <c r="A61" s="44" t="s">
        <v>282</v>
      </c>
      <c r="B61" s="50" t="s">
        <v>693</v>
      </c>
      <c r="C61" s="346">
        <v>6.0192043701090742E-2</v>
      </c>
      <c r="D61" s="346">
        <f t="shared" si="0"/>
        <v>0.11942661156728707</v>
      </c>
      <c r="E61" s="348">
        <f t="shared" si="1"/>
        <v>7.1026611567287068E-2</v>
      </c>
      <c r="F61" s="287">
        <v>0.2</v>
      </c>
    </row>
    <row r="62" spans="1:6" ht="16">
      <c r="A62" s="44" t="s">
        <v>283</v>
      </c>
      <c r="B62" s="50" t="s">
        <v>690</v>
      </c>
      <c r="C62" s="346">
        <v>6.6377191048821857E-3</v>
      </c>
      <c r="D62" s="346">
        <f t="shared" si="0"/>
        <v>5.6232508543760981E-2</v>
      </c>
      <c r="E62" s="348">
        <f t="shared" si="1"/>
        <v>7.8325085437609791E-3</v>
      </c>
      <c r="F62" s="348">
        <v>0.2</v>
      </c>
    </row>
    <row r="63" spans="1:6" ht="16">
      <c r="A63" s="44" t="s">
        <v>284</v>
      </c>
      <c r="B63" s="50" t="s">
        <v>683</v>
      </c>
      <c r="C63" s="346">
        <v>8.2971488811027332E-3</v>
      </c>
      <c r="D63" s="346">
        <f t="shared" si="0"/>
        <v>5.8190635679701223E-2</v>
      </c>
      <c r="E63" s="348">
        <f t="shared" si="1"/>
        <v>9.7906356797012248E-3</v>
      </c>
      <c r="F63" s="348">
        <v>0.31</v>
      </c>
    </row>
    <row r="64" spans="1:6" ht="16">
      <c r="A64" s="44" t="s">
        <v>489</v>
      </c>
      <c r="B64" s="50" t="s">
        <v>694</v>
      </c>
      <c r="C64" s="346">
        <v>0.12536237673084313</v>
      </c>
      <c r="D64" s="346">
        <f t="shared" si="0"/>
        <v>0.1963276045423949</v>
      </c>
      <c r="E64" s="348">
        <f t="shared" si="1"/>
        <v>0.1479276045423949</v>
      </c>
      <c r="F64" s="348">
        <v>0.3</v>
      </c>
    </row>
    <row r="65" spans="1:6" ht="16">
      <c r="A65" s="347" t="s">
        <v>703</v>
      </c>
      <c r="B65" s="50" t="s">
        <v>98</v>
      </c>
      <c r="C65" s="287">
        <v>0.10876807896863765</v>
      </c>
      <c r="D65" s="346">
        <f t="shared" si="0"/>
        <v>0.1767463331829924</v>
      </c>
      <c r="E65" s="348">
        <f t="shared" si="1"/>
        <v>0.12834633318299241</v>
      </c>
      <c r="F65" s="348">
        <v>0.31</v>
      </c>
    </row>
    <row r="66" spans="1:6" ht="16">
      <c r="A66" s="44" t="s">
        <v>368</v>
      </c>
      <c r="B66" s="50" t="s">
        <v>691</v>
      </c>
      <c r="C66" s="346">
        <v>5.0235465043767448E-2</v>
      </c>
      <c r="D66" s="346">
        <f t="shared" si="0"/>
        <v>0.10767784875164559</v>
      </c>
      <c r="E66" s="348">
        <f t="shared" si="1"/>
        <v>5.9277848751645587E-2</v>
      </c>
      <c r="F66" s="348">
        <v>0.15</v>
      </c>
    </row>
    <row r="67" spans="1:6" ht="16">
      <c r="A67" s="44" t="s">
        <v>285</v>
      </c>
      <c r="B67" s="50" t="s">
        <v>689</v>
      </c>
      <c r="C67" s="346">
        <v>0</v>
      </c>
      <c r="D67" s="346">
        <f t="shared" si="0"/>
        <v>4.8399999999999999E-2</v>
      </c>
      <c r="E67" s="348">
        <f t="shared" si="1"/>
        <v>0</v>
      </c>
      <c r="F67" s="348">
        <v>0.3</v>
      </c>
    </row>
    <row r="68" spans="1:6" ht="16">
      <c r="A68" s="44" t="s">
        <v>490</v>
      </c>
      <c r="B68" s="50" t="s">
        <v>696</v>
      </c>
      <c r="C68" s="346">
        <v>0.10876807896863763</v>
      </c>
      <c r="D68" s="346">
        <f t="shared" si="0"/>
        <v>0.1767463331829924</v>
      </c>
      <c r="E68" s="348">
        <f t="shared" si="1"/>
        <v>0.12834633318299241</v>
      </c>
      <c r="F68" s="287">
        <v>0.25</v>
      </c>
    </row>
    <row r="69" spans="1:6" ht="16">
      <c r="A69" s="352" t="s">
        <v>750</v>
      </c>
      <c r="B69" s="3" t="s">
        <v>98</v>
      </c>
      <c r="C69" s="3">
        <v>1.3748484866181051E-2</v>
      </c>
      <c r="D69" s="346">
        <f t="shared" si="0"/>
        <v>6.4623212142093642E-2</v>
      </c>
      <c r="E69" s="348">
        <f t="shared" si="1"/>
        <v>1.622321214209364E-2</v>
      </c>
      <c r="F69" s="287">
        <v>0.25037012452417917</v>
      </c>
    </row>
    <row r="70" spans="1:6" ht="16">
      <c r="A70" s="44" t="s">
        <v>286</v>
      </c>
      <c r="B70" s="50" t="s">
        <v>684</v>
      </c>
      <c r="C70" s="346">
        <v>7.5277768939459352E-2</v>
      </c>
      <c r="D70" s="346">
        <f t="shared" ref="D70:D133" si="2">$B$1+E70</f>
        <v>0.13722776734856201</v>
      </c>
      <c r="E70" s="348">
        <f t="shared" ref="E70:E133" si="3">C70*1.18</f>
        <v>8.8827767348562028E-2</v>
      </c>
      <c r="F70" s="287">
        <v>0.28000000000000003</v>
      </c>
    </row>
    <row r="71" spans="1:6" ht="16">
      <c r="A71" s="353" t="s">
        <v>751</v>
      </c>
      <c r="B71" s="3" t="s">
        <v>98</v>
      </c>
      <c r="C71" s="3">
        <v>1.3748484866181051E-2</v>
      </c>
      <c r="D71" s="346">
        <f t="shared" si="2"/>
        <v>6.4623212142093642E-2</v>
      </c>
      <c r="E71" s="348">
        <f t="shared" si="3"/>
        <v>1.622321214209364E-2</v>
      </c>
      <c r="F71" s="287">
        <v>0.25037012452417917</v>
      </c>
    </row>
    <row r="72" spans="1:6" ht="16">
      <c r="A72" s="44" t="s">
        <v>287</v>
      </c>
      <c r="B72" s="50" t="s">
        <v>704</v>
      </c>
      <c r="C72" s="346">
        <v>4.1787458910281045E-2</v>
      </c>
      <c r="D72" s="346">
        <f t="shared" si="2"/>
        <v>9.7709201514131622E-2</v>
      </c>
      <c r="E72" s="348">
        <f t="shared" si="3"/>
        <v>4.930920151413163E-2</v>
      </c>
      <c r="F72" s="348">
        <v>0.25</v>
      </c>
    </row>
    <row r="73" spans="1:6" ht="16">
      <c r="A73" s="44" t="s">
        <v>752</v>
      </c>
      <c r="B73" s="50" t="s">
        <v>688</v>
      </c>
      <c r="C73" s="346">
        <v>2.6701733671912434E-2</v>
      </c>
      <c r="D73" s="346">
        <f t="shared" si="2"/>
        <v>7.9908045732856675E-2</v>
      </c>
      <c r="E73" s="348">
        <f t="shared" si="3"/>
        <v>3.150804573285667E-2</v>
      </c>
      <c r="F73" s="348">
        <v>0</v>
      </c>
    </row>
    <row r="74" spans="1:6" ht="16">
      <c r="A74" s="347" t="s">
        <v>705</v>
      </c>
      <c r="B74" s="50" t="s">
        <v>98</v>
      </c>
      <c r="C74" s="287">
        <v>0.16714983564112421</v>
      </c>
      <c r="D74" s="346">
        <f t="shared" si="2"/>
        <v>0.24563680605652655</v>
      </c>
      <c r="E74" s="348">
        <f t="shared" si="3"/>
        <v>0.19723680605652655</v>
      </c>
      <c r="F74" s="348">
        <v>0.29149999999999998</v>
      </c>
    </row>
    <row r="75" spans="1:6" ht="16">
      <c r="A75" s="347" t="s">
        <v>706</v>
      </c>
      <c r="B75" s="50" t="s">
        <v>98</v>
      </c>
      <c r="C75" s="287">
        <v>0.10876807896863765</v>
      </c>
      <c r="D75" s="346">
        <f t="shared" si="2"/>
        <v>0.1767463331829924</v>
      </c>
      <c r="E75" s="348">
        <f t="shared" si="3"/>
        <v>0.12834633318299241</v>
      </c>
      <c r="F75" s="348">
        <v>0.29149999999999998</v>
      </c>
    </row>
    <row r="76" spans="1:6" ht="16">
      <c r="A76" s="347" t="s">
        <v>707</v>
      </c>
      <c r="B76" s="50" t="s">
        <v>98</v>
      </c>
      <c r="C76" s="287">
        <v>0.10876807896863765</v>
      </c>
      <c r="D76" s="346">
        <f t="shared" si="2"/>
        <v>0.1767463331829924</v>
      </c>
      <c r="E76" s="348">
        <f t="shared" si="3"/>
        <v>0.12834633318299241</v>
      </c>
      <c r="F76" s="348">
        <v>0.18640000000000001</v>
      </c>
    </row>
    <row r="77" spans="1:6" ht="16">
      <c r="A77" s="347" t="s">
        <v>708</v>
      </c>
      <c r="B77" s="50" t="s">
        <v>98</v>
      </c>
      <c r="C77" s="287">
        <v>0.1505555378789187</v>
      </c>
      <c r="D77" s="346">
        <f t="shared" si="2"/>
        <v>0.22605553469712406</v>
      </c>
      <c r="E77" s="348">
        <f t="shared" si="3"/>
        <v>0.17765553469712406</v>
      </c>
      <c r="F77" s="348">
        <v>0.18640000000000001</v>
      </c>
    </row>
    <row r="78" spans="1:6" ht="16">
      <c r="A78" s="44" t="s">
        <v>288</v>
      </c>
      <c r="B78" s="50" t="s">
        <v>684</v>
      </c>
      <c r="C78" s="346">
        <v>7.5277768939459352E-2</v>
      </c>
      <c r="D78" s="346">
        <f t="shared" si="2"/>
        <v>0.13722776734856201</v>
      </c>
      <c r="E78" s="348">
        <f t="shared" si="3"/>
        <v>8.8827767348562028E-2</v>
      </c>
      <c r="F78" s="287">
        <v>0.25</v>
      </c>
    </row>
    <row r="79" spans="1:6" ht="16">
      <c r="A79" s="44" t="s">
        <v>289</v>
      </c>
      <c r="B79" s="50" t="s">
        <v>683</v>
      </c>
      <c r="C79" s="346">
        <v>8.2971488811027332E-3</v>
      </c>
      <c r="D79" s="346">
        <f t="shared" si="2"/>
        <v>5.8190635679701223E-2</v>
      </c>
      <c r="E79" s="348">
        <f t="shared" si="3"/>
        <v>9.7906356797012248E-3</v>
      </c>
      <c r="F79" s="348">
        <v>0.16500000000000001</v>
      </c>
    </row>
    <row r="80" spans="1:6" ht="16">
      <c r="A80" s="44" t="s">
        <v>290</v>
      </c>
      <c r="B80" s="50" t="s">
        <v>692</v>
      </c>
      <c r="C80" s="346">
        <v>3.6809169581619394E-2</v>
      </c>
      <c r="D80" s="346">
        <f t="shared" si="2"/>
        <v>9.1834820106310888E-2</v>
      </c>
      <c r="E80" s="348">
        <f t="shared" si="3"/>
        <v>4.3434820106310883E-2</v>
      </c>
      <c r="F80" s="348">
        <v>0.09</v>
      </c>
    </row>
    <row r="81" spans="1:6" ht="16">
      <c r="A81" s="44" t="s">
        <v>291</v>
      </c>
      <c r="B81" s="50" t="s">
        <v>698</v>
      </c>
      <c r="C81" s="346">
        <v>1.4180581724066488E-2</v>
      </c>
      <c r="D81" s="346">
        <f t="shared" si="2"/>
        <v>6.5133086434398454E-2</v>
      </c>
      <c r="E81" s="348">
        <f t="shared" si="3"/>
        <v>1.6733086434398456E-2</v>
      </c>
      <c r="F81" s="348">
        <v>0.2</v>
      </c>
    </row>
    <row r="82" spans="1:6" ht="16">
      <c r="A82" s="44" t="s">
        <v>292</v>
      </c>
      <c r="B82" s="50" t="s">
        <v>686</v>
      </c>
      <c r="C82" s="346">
        <v>3.1830880252957758E-2</v>
      </c>
      <c r="D82" s="346">
        <f t="shared" si="2"/>
        <v>8.5960438698490155E-2</v>
      </c>
      <c r="E82" s="348">
        <f t="shared" si="3"/>
        <v>3.7560438698490149E-2</v>
      </c>
      <c r="F82" s="348">
        <v>0.3</v>
      </c>
    </row>
    <row r="83" spans="1:6" ht="16">
      <c r="A83" s="44" t="s">
        <v>293</v>
      </c>
      <c r="B83" s="50" t="s">
        <v>686</v>
      </c>
      <c r="C83" s="346">
        <v>3.1830880252957758E-2</v>
      </c>
      <c r="D83" s="346">
        <f t="shared" si="2"/>
        <v>8.5960438698490155E-2</v>
      </c>
      <c r="E83" s="348">
        <f t="shared" si="3"/>
        <v>3.7560438698490149E-2</v>
      </c>
      <c r="F83" s="348">
        <v>0.25</v>
      </c>
    </row>
    <row r="84" spans="1:6" ht="16">
      <c r="A84" s="347" t="s">
        <v>709</v>
      </c>
      <c r="B84" s="50" t="s">
        <v>98</v>
      </c>
      <c r="C84" s="287">
        <v>0.10876807896863765</v>
      </c>
      <c r="D84" s="346">
        <f t="shared" si="2"/>
        <v>0.1767463331829924</v>
      </c>
      <c r="E84" s="348">
        <f t="shared" si="3"/>
        <v>0.12834633318299241</v>
      </c>
      <c r="F84" s="348">
        <v>0.20230000000000001</v>
      </c>
    </row>
    <row r="85" spans="1:6" ht="16">
      <c r="A85" s="44" t="s">
        <v>656</v>
      </c>
      <c r="B85" s="50" t="s">
        <v>694</v>
      </c>
      <c r="C85" s="346">
        <v>0.12536237673084313</v>
      </c>
      <c r="D85" s="346">
        <f t="shared" si="2"/>
        <v>0.1963276045423949</v>
      </c>
      <c r="E85" s="348">
        <f t="shared" si="3"/>
        <v>0.1479276045423949</v>
      </c>
      <c r="F85" s="348">
        <v>0.15</v>
      </c>
    </row>
    <row r="86" spans="1:6" ht="16">
      <c r="A86" s="44" t="s">
        <v>294</v>
      </c>
      <c r="B86" s="50" t="s">
        <v>698</v>
      </c>
      <c r="C86" s="346">
        <v>1.4180581724066488E-2</v>
      </c>
      <c r="D86" s="346">
        <f t="shared" si="2"/>
        <v>6.5133086434398454E-2</v>
      </c>
      <c r="E86" s="348">
        <f t="shared" si="3"/>
        <v>1.6733086434398456E-2</v>
      </c>
      <c r="F86" s="348">
        <v>0.125</v>
      </c>
    </row>
    <row r="87" spans="1:6" ht="16">
      <c r="A87" s="44" t="s">
        <v>295</v>
      </c>
      <c r="B87" s="50" t="s">
        <v>683</v>
      </c>
      <c r="C87" s="346">
        <v>8.2971488811027332E-3</v>
      </c>
      <c r="D87" s="346">
        <f t="shared" si="2"/>
        <v>5.8190635679701223E-2</v>
      </c>
      <c r="E87" s="348">
        <f t="shared" si="3"/>
        <v>9.7906356797012248E-3</v>
      </c>
      <c r="F87" s="348">
        <v>0</v>
      </c>
    </row>
    <row r="88" spans="1:6" ht="16">
      <c r="A88" s="44" t="s">
        <v>296</v>
      </c>
      <c r="B88" s="50" t="s">
        <v>700</v>
      </c>
      <c r="C88" s="346">
        <v>1.1766865685927512E-2</v>
      </c>
      <c r="D88" s="346">
        <f t="shared" si="2"/>
        <v>6.2284901509394461E-2</v>
      </c>
      <c r="E88" s="348">
        <f t="shared" si="3"/>
        <v>1.3884901509394464E-2</v>
      </c>
      <c r="F88" s="348">
        <v>0.23</v>
      </c>
    </row>
    <row r="89" spans="1:6" ht="16">
      <c r="A89" s="44" t="s">
        <v>297</v>
      </c>
      <c r="B89" s="50" t="s">
        <v>692</v>
      </c>
      <c r="C89" s="346">
        <v>3.6809169581619394E-2</v>
      </c>
      <c r="D89" s="346">
        <f t="shared" si="2"/>
        <v>9.1834820106310888E-2</v>
      </c>
      <c r="E89" s="348">
        <f t="shared" si="3"/>
        <v>4.3434820106310883E-2</v>
      </c>
      <c r="F89" s="348">
        <v>0.24</v>
      </c>
    </row>
    <row r="90" spans="1:6" ht="16">
      <c r="A90" s="351" t="s">
        <v>753</v>
      </c>
      <c r="B90" s="50" t="s">
        <v>693</v>
      </c>
      <c r="C90" s="346">
        <v>6.0192043701090742E-2</v>
      </c>
      <c r="D90" s="346">
        <f t="shared" si="2"/>
        <v>0.11942661156728707</v>
      </c>
      <c r="E90" s="348">
        <f t="shared" si="3"/>
        <v>7.1026611567287068E-2</v>
      </c>
      <c r="F90" s="348">
        <v>0.25</v>
      </c>
    </row>
    <row r="91" spans="1:6" ht="16">
      <c r="A91" s="44" t="s">
        <v>298</v>
      </c>
      <c r="B91" s="50" t="s">
        <v>687</v>
      </c>
      <c r="C91" s="346">
        <v>9.2022923954048486E-2</v>
      </c>
      <c r="D91" s="346">
        <f t="shared" si="2"/>
        <v>0.15698705026577719</v>
      </c>
      <c r="E91" s="348">
        <f t="shared" si="3"/>
        <v>0.10858705026577721</v>
      </c>
      <c r="F91" s="287">
        <v>0.25</v>
      </c>
    </row>
    <row r="92" spans="1:6" ht="16">
      <c r="A92" s="44" t="s">
        <v>299</v>
      </c>
      <c r="B92" s="50" t="s">
        <v>700</v>
      </c>
      <c r="C92" s="346">
        <v>1.1766865685927512E-2</v>
      </c>
      <c r="D92" s="346">
        <f t="shared" si="2"/>
        <v>6.2284901509394461E-2</v>
      </c>
      <c r="E92" s="348">
        <f t="shared" si="3"/>
        <v>1.3884901509394464E-2</v>
      </c>
      <c r="F92" s="348">
        <v>0.30620000000000003</v>
      </c>
    </row>
    <row r="93" spans="1:6" ht="16">
      <c r="A93" s="44" t="s">
        <v>754</v>
      </c>
      <c r="B93" s="50" t="s">
        <v>700</v>
      </c>
      <c r="C93" s="346">
        <v>1.1766865685927512E-2</v>
      </c>
      <c r="D93" s="346">
        <f t="shared" si="2"/>
        <v>6.2284901509394461E-2</v>
      </c>
      <c r="E93" s="348">
        <f t="shared" si="3"/>
        <v>1.3884901509394464E-2</v>
      </c>
      <c r="F93" s="348">
        <v>0</v>
      </c>
    </row>
    <row r="94" spans="1:6" ht="16">
      <c r="A94" s="44" t="s">
        <v>300</v>
      </c>
      <c r="B94" s="50" t="s">
        <v>684</v>
      </c>
      <c r="C94" s="346">
        <v>7.5277768939459352E-2</v>
      </c>
      <c r="D94" s="346">
        <f t="shared" si="2"/>
        <v>0.13722776734856201</v>
      </c>
      <c r="E94" s="348">
        <f t="shared" si="3"/>
        <v>8.8827767348562028E-2</v>
      </c>
      <c r="F94" s="348">
        <v>0.2</v>
      </c>
    </row>
    <row r="95" spans="1:6" ht="16">
      <c r="A95" s="44" t="s">
        <v>301</v>
      </c>
      <c r="B95" s="50" t="s">
        <v>692</v>
      </c>
      <c r="C95" s="346">
        <v>3.6809169581619394E-2</v>
      </c>
      <c r="D95" s="346">
        <f t="shared" si="2"/>
        <v>9.1834820106310888E-2</v>
      </c>
      <c r="E95" s="348">
        <f t="shared" si="3"/>
        <v>4.3434820106310883E-2</v>
      </c>
      <c r="F95" s="348">
        <v>0.2</v>
      </c>
    </row>
    <row r="96" spans="1:6" ht="16">
      <c r="A96" s="44" t="s">
        <v>432</v>
      </c>
      <c r="B96" s="50" t="s">
        <v>687</v>
      </c>
      <c r="C96" s="346">
        <v>9.2022923954048486E-2</v>
      </c>
      <c r="D96" s="346">
        <f t="shared" si="2"/>
        <v>0.15698705026577719</v>
      </c>
      <c r="E96" s="348">
        <f t="shared" si="3"/>
        <v>0.10858705026577721</v>
      </c>
      <c r="F96" s="287">
        <v>0.3</v>
      </c>
    </row>
    <row r="97" spans="1:6" ht="16">
      <c r="A97" s="347" t="s">
        <v>710</v>
      </c>
      <c r="B97" s="50" t="s">
        <v>98</v>
      </c>
      <c r="C97" s="287">
        <v>0.20064014567030244</v>
      </c>
      <c r="D97" s="346">
        <f t="shared" si="2"/>
        <v>0.28515537189095685</v>
      </c>
      <c r="E97" s="348">
        <f t="shared" si="3"/>
        <v>0.23675537189095688</v>
      </c>
      <c r="F97" s="349">
        <v>0.23100000000000001</v>
      </c>
    </row>
    <row r="98" spans="1:6" ht="16">
      <c r="A98" s="44" t="s">
        <v>302</v>
      </c>
      <c r="B98" s="50" t="s">
        <v>683</v>
      </c>
      <c r="C98" s="346">
        <v>8.2971488811027332E-3</v>
      </c>
      <c r="D98" s="346">
        <f t="shared" si="2"/>
        <v>5.8190635679701223E-2</v>
      </c>
      <c r="E98" s="348">
        <f t="shared" si="3"/>
        <v>9.7906356797012248E-3</v>
      </c>
      <c r="F98" s="348">
        <v>0.15</v>
      </c>
    </row>
    <row r="99" spans="1:6" ht="16">
      <c r="A99" s="44" t="s">
        <v>491</v>
      </c>
      <c r="B99" s="50" t="s">
        <v>687</v>
      </c>
      <c r="C99" s="346">
        <v>9.2022923954048486E-2</v>
      </c>
      <c r="D99" s="346">
        <f t="shared" si="2"/>
        <v>0.15698705026577719</v>
      </c>
      <c r="E99" s="348">
        <f t="shared" si="3"/>
        <v>0.10858705026577721</v>
      </c>
      <c r="F99" s="348">
        <v>0.1</v>
      </c>
    </row>
    <row r="100" spans="1:6" ht="16">
      <c r="A100" s="351" t="s">
        <v>755</v>
      </c>
      <c r="B100" s="50" t="s">
        <v>687</v>
      </c>
      <c r="C100" s="346">
        <v>9.2022923954048486E-2</v>
      </c>
      <c r="D100" s="346">
        <f t="shared" si="2"/>
        <v>0.15698705026577719</v>
      </c>
      <c r="E100" s="348">
        <f t="shared" si="3"/>
        <v>0.10858705026577721</v>
      </c>
      <c r="F100" s="348">
        <v>0.2</v>
      </c>
    </row>
    <row r="101" spans="1:6" ht="16">
      <c r="A101" s="44" t="s">
        <v>303</v>
      </c>
      <c r="B101" s="50" t="s">
        <v>702</v>
      </c>
      <c r="C101" s="346">
        <v>2.0064014567030247E-2</v>
      </c>
      <c r="D101" s="346">
        <f t="shared" si="2"/>
        <v>7.2075537189095693E-2</v>
      </c>
      <c r="E101" s="348">
        <f t="shared" si="3"/>
        <v>2.367553718909569E-2</v>
      </c>
      <c r="F101" s="348">
        <v>0.2</v>
      </c>
    </row>
    <row r="102" spans="1:6" ht="16">
      <c r="A102" s="44" t="s">
        <v>369</v>
      </c>
      <c r="B102" s="50" t="s">
        <v>701</v>
      </c>
      <c r="C102" s="346">
        <v>0.1505555378789187</v>
      </c>
      <c r="D102" s="346">
        <f t="shared" si="2"/>
        <v>0.22605553469712406</v>
      </c>
      <c r="E102" s="348">
        <f t="shared" si="3"/>
        <v>0.17765553469712406</v>
      </c>
      <c r="F102" s="348">
        <v>0.17</v>
      </c>
    </row>
    <row r="103" spans="1:6" ht="16">
      <c r="A103" s="347" t="s">
        <v>711</v>
      </c>
      <c r="B103" s="50" t="s">
        <v>98</v>
      </c>
      <c r="C103" s="287">
        <v>0.28000000000000003</v>
      </c>
      <c r="D103" s="346">
        <f t="shared" si="2"/>
        <v>0.37880000000000003</v>
      </c>
      <c r="E103" s="348">
        <f t="shared" si="3"/>
        <v>0.33040000000000003</v>
      </c>
      <c r="F103" s="287">
        <v>0.29149999999999998</v>
      </c>
    </row>
    <row r="104" spans="1:6" ht="16">
      <c r="A104" s="347" t="s">
        <v>712</v>
      </c>
      <c r="B104" s="50" t="s">
        <v>98</v>
      </c>
      <c r="C104" s="287">
        <v>5.0235465043767434E-2</v>
      </c>
      <c r="D104" s="346">
        <f t="shared" si="2"/>
        <v>0.10767784875164557</v>
      </c>
      <c r="E104" s="348">
        <f t="shared" si="3"/>
        <v>5.9277848751645566E-2</v>
      </c>
      <c r="F104" s="287">
        <v>0.2</v>
      </c>
    </row>
    <row r="105" spans="1:6" ht="16">
      <c r="A105" s="44" t="s">
        <v>304</v>
      </c>
      <c r="B105" s="50" t="s">
        <v>689</v>
      </c>
      <c r="C105" s="346">
        <v>0</v>
      </c>
      <c r="D105" s="346">
        <f t="shared" si="2"/>
        <v>4.8399999999999999E-2</v>
      </c>
      <c r="E105" s="348">
        <f t="shared" si="3"/>
        <v>0</v>
      </c>
      <c r="F105" s="348">
        <v>0.125</v>
      </c>
    </row>
    <row r="106" spans="1:6" ht="16">
      <c r="A106" s="44" t="s">
        <v>305</v>
      </c>
      <c r="B106" s="50" t="s">
        <v>702</v>
      </c>
      <c r="C106" s="346">
        <v>2.0064014567030247E-2</v>
      </c>
      <c r="D106" s="346">
        <f t="shared" si="2"/>
        <v>7.2075537189095693E-2</v>
      </c>
      <c r="E106" s="348">
        <f t="shared" si="3"/>
        <v>2.367553718909569E-2</v>
      </c>
      <c r="F106" s="348">
        <v>0.15</v>
      </c>
    </row>
    <row r="107" spans="1:6" ht="16">
      <c r="A107" s="44" t="s">
        <v>306</v>
      </c>
      <c r="B107" s="50" t="s">
        <v>689</v>
      </c>
      <c r="C107" s="346">
        <v>0</v>
      </c>
      <c r="D107" s="346">
        <f t="shared" si="2"/>
        <v>4.8399999999999999E-2</v>
      </c>
      <c r="E107" s="348">
        <f t="shared" si="3"/>
        <v>0</v>
      </c>
      <c r="F107" s="287">
        <v>0.2601</v>
      </c>
    </row>
    <row r="108" spans="1:6" ht="16">
      <c r="A108" s="44" t="s">
        <v>732</v>
      </c>
      <c r="B108" s="50" t="s">
        <v>695</v>
      </c>
      <c r="C108" s="346">
        <v>1.0107435909706966E-2</v>
      </c>
      <c r="D108" s="346">
        <f t="shared" si="2"/>
        <v>6.0326774373454219E-2</v>
      </c>
      <c r="E108" s="348">
        <f t="shared" si="3"/>
        <v>1.1926774373454218E-2</v>
      </c>
      <c r="F108" s="348">
        <v>0.12</v>
      </c>
    </row>
    <row r="109" spans="1:6" ht="16">
      <c r="A109" s="44" t="s">
        <v>307</v>
      </c>
      <c r="B109" s="50" t="s">
        <v>693</v>
      </c>
      <c r="C109" s="346">
        <v>6.0192043701090742E-2</v>
      </c>
      <c r="D109" s="346">
        <f t="shared" si="2"/>
        <v>0.11942661156728707</v>
      </c>
      <c r="E109" s="348">
        <f t="shared" si="3"/>
        <v>7.1026611567287068E-2</v>
      </c>
      <c r="F109" s="348">
        <v>0.1</v>
      </c>
    </row>
    <row r="110" spans="1:6" ht="16">
      <c r="A110" s="347" t="s">
        <v>713</v>
      </c>
      <c r="B110" s="50" t="s">
        <v>98</v>
      </c>
      <c r="C110" s="287">
        <v>9.2022923954048486E-2</v>
      </c>
      <c r="D110" s="346">
        <f t="shared" si="2"/>
        <v>0.15698705026577719</v>
      </c>
      <c r="E110" s="348">
        <f t="shared" si="3"/>
        <v>0.10858705026577721</v>
      </c>
      <c r="F110" s="348">
        <v>0.2</v>
      </c>
    </row>
    <row r="111" spans="1:6" ht="16">
      <c r="A111" s="347" t="s">
        <v>714</v>
      </c>
      <c r="B111" s="50" t="s">
        <v>98</v>
      </c>
      <c r="C111" s="287">
        <v>0.10876807896863765</v>
      </c>
      <c r="D111" s="346">
        <f t="shared" si="2"/>
        <v>0.1767463331829924</v>
      </c>
      <c r="E111" s="348">
        <f t="shared" si="3"/>
        <v>0.12834633318299241</v>
      </c>
      <c r="F111" s="348">
        <v>0.3</v>
      </c>
    </row>
    <row r="112" spans="1:6" ht="16">
      <c r="A112" s="44" t="s">
        <v>308</v>
      </c>
      <c r="B112" s="50" t="s">
        <v>702</v>
      </c>
      <c r="C112" s="346">
        <v>2.0064014567030247E-2</v>
      </c>
      <c r="D112" s="346">
        <f t="shared" si="2"/>
        <v>7.2075537189095693E-2</v>
      </c>
      <c r="E112" s="348">
        <f t="shared" si="3"/>
        <v>2.367553718909569E-2</v>
      </c>
      <c r="F112" s="348">
        <v>0.24</v>
      </c>
    </row>
    <row r="113" spans="1:6" ht="16">
      <c r="A113" s="44" t="s">
        <v>715</v>
      </c>
      <c r="B113" s="50" t="s">
        <v>696</v>
      </c>
      <c r="C113" s="346">
        <v>0.10876807896863763</v>
      </c>
      <c r="D113" s="346">
        <f t="shared" si="2"/>
        <v>0.1767463331829924</v>
      </c>
      <c r="E113" s="348">
        <f t="shared" si="3"/>
        <v>0.12834633318299241</v>
      </c>
      <c r="F113" s="348">
        <v>0.28239999999999998</v>
      </c>
    </row>
    <row r="114" spans="1:6" ht="16">
      <c r="A114" s="44" t="s">
        <v>309</v>
      </c>
      <c r="B114" s="50" t="s">
        <v>698</v>
      </c>
      <c r="C114" s="346">
        <v>1.4180581724066488E-2</v>
      </c>
      <c r="D114" s="346">
        <f t="shared" si="2"/>
        <v>6.5133086434398454E-2</v>
      </c>
      <c r="E114" s="348">
        <f t="shared" si="3"/>
        <v>1.6733086434398456E-2</v>
      </c>
      <c r="F114" s="348">
        <v>0.35</v>
      </c>
    </row>
    <row r="115" spans="1:6" ht="16">
      <c r="A115" s="44" t="s">
        <v>310</v>
      </c>
      <c r="B115" s="50" t="s">
        <v>688</v>
      </c>
      <c r="C115" s="346">
        <v>2.6701733671912434E-2</v>
      </c>
      <c r="D115" s="346">
        <f t="shared" si="2"/>
        <v>7.9908045732856675E-2</v>
      </c>
      <c r="E115" s="348">
        <f t="shared" si="3"/>
        <v>3.150804573285667E-2</v>
      </c>
      <c r="F115" s="348">
        <v>0.15</v>
      </c>
    </row>
    <row r="116" spans="1:6" ht="16">
      <c r="A116" s="44" t="s">
        <v>311</v>
      </c>
      <c r="B116" s="50" t="s">
        <v>702</v>
      </c>
      <c r="C116" s="346">
        <v>2.0064014567030247E-2</v>
      </c>
      <c r="D116" s="346">
        <f t="shared" si="2"/>
        <v>7.2075537189095693E-2</v>
      </c>
      <c r="E116" s="348">
        <f t="shared" si="3"/>
        <v>2.367553718909569E-2</v>
      </c>
      <c r="F116" s="348">
        <v>0.3</v>
      </c>
    </row>
    <row r="117" spans="1:6" ht="16">
      <c r="A117" s="44" t="s">
        <v>370</v>
      </c>
      <c r="B117" s="50" t="s">
        <v>696</v>
      </c>
      <c r="C117" s="346">
        <v>0.10876807896863763</v>
      </c>
      <c r="D117" s="346">
        <f t="shared" si="2"/>
        <v>0.1767463331829924</v>
      </c>
      <c r="E117" s="348">
        <f t="shared" si="3"/>
        <v>0.12834633318299241</v>
      </c>
      <c r="F117" s="287">
        <v>0.12</v>
      </c>
    </row>
    <row r="118" spans="1:6" ht="16">
      <c r="A118" s="44" t="s">
        <v>371</v>
      </c>
      <c r="B118" s="50" t="s">
        <v>696</v>
      </c>
      <c r="C118" s="346">
        <v>0.10876807896863763</v>
      </c>
      <c r="D118" s="346">
        <f t="shared" si="2"/>
        <v>0.1767463331829924</v>
      </c>
      <c r="E118" s="348">
        <f t="shared" si="3"/>
        <v>0.12834633318299241</v>
      </c>
      <c r="F118" s="348">
        <v>0.25</v>
      </c>
    </row>
    <row r="119" spans="1:6" ht="16">
      <c r="A119" s="44" t="s">
        <v>312</v>
      </c>
      <c r="B119" s="50" t="s">
        <v>684</v>
      </c>
      <c r="C119" s="346">
        <v>7.5277768939459352E-2</v>
      </c>
      <c r="D119" s="346">
        <f t="shared" si="2"/>
        <v>0.13722776734856201</v>
      </c>
      <c r="E119" s="348">
        <f t="shared" si="3"/>
        <v>8.8827767348562028E-2</v>
      </c>
      <c r="F119" s="348">
        <v>0.09</v>
      </c>
    </row>
    <row r="120" spans="1:6" ht="16">
      <c r="A120" s="44" t="s">
        <v>492</v>
      </c>
      <c r="B120" s="50" t="s">
        <v>692</v>
      </c>
      <c r="C120" s="346">
        <v>3.6809169581619394E-2</v>
      </c>
      <c r="D120" s="346">
        <f t="shared" si="2"/>
        <v>9.1834820106310888E-2</v>
      </c>
      <c r="E120" s="348">
        <f t="shared" si="3"/>
        <v>4.3434820106310883E-2</v>
      </c>
      <c r="F120" s="348">
        <v>0.27239999999999998</v>
      </c>
    </row>
    <row r="121" spans="1:6" ht="16">
      <c r="A121" s="44" t="s">
        <v>372</v>
      </c>
      <c r="B121" s="50" t="s">
        <v>704</v>
      </c>
      <c r="C121" s="346">
        <v>4.1787458910281045E-2</v>
      </c>
      <c r="D121" s="346">
        <f t="shared" si="2"/>
        <v>9.7709201514131622E-2</v>
      </c>
      <c r="E121" s="348">
        <f t="shared" si="3"/>
        <v>4.930920151413163E-2</v>
      </c>
      <c r="F121" s="348">
        <v>0.31</v>
      </c>
    </row>
    <row r="122" spans="1:6" ht="16">
      <c r="A122" s="44" t="s">
        <v>313</v>
      </c>
      <c r="B122" s="50" t="s">
        <v>701</v>
      </c>
      <c r="C122" s="346">
        <v>0.1505555378789187</v>
      </c>
      <c r="D122" s="346">
        <f t="shared" si="2"/>
        <v>0.22605553469712406</v>
      </c>
      <c r="E122" s="348">
        <f t="shared" si="3"/>
        <v>0.17765553469712406</v>
      </c>
      <c r="F122" s="287">
        <v>0.32</v>
      </c>
    </row>
    <row r="123" spans="1:6" ht="16">
      <c r="A123" s="347" t="s">
        <v>716</v>
      </c>
      <c r="B123" s="50" t="s">
        <v>98</v>
      </c>
      <c r="C123" s="287">
        <v>0.10876807896863765</v>
      </c>
      <c r="D123" s="346">
        <f t="shared" si="2"/>
        <v>0.1767463331829924</v>
      </c>
      <c r="E123" s="348">
        <f t="shared" si="3"/>
        <v>0.12834633318299241</v>
      </c>
      <c r="F123" s="348">
        <v>0.25</v>
      </c>
    </row>
    <row r="124" spans="1:6" ht="16">
      <c r="A124" s="44" t="s">
        <v>314</v>
      </c>
      <c r="B124" s="50" t="s">
        <v>691</v>
      </c>
      <c r="C124" s="346">
        <v>5.0235465043767448E-2</v>
      </c>
      <c r="D124" s="346">
        <f t="shared" si="2"/>
        <v>0.10767784875164559</v>
      </c>
      <c r="E124" s="348">
        <f t="shared" si="3"/>
        <v>5.9277848751645587E-2</v>
      </c>
      <c r="F124" s="348">
        <v>0.32</v>
      </c>
    </row>
    <row r="125" spans="1:6" ht="16">
      <c r="A125" s="44" t="s">
        <v>315</v>
      </c>
      <c r="B125" s="50" t="s">
        <v>689</v>
      </c>
      <c r="C125" s="346">
        <v>0</v>
      </c>
      <c r="D125" s="346">
        <f t="shared" si="2"/>
        <v>4.8399999999999999E-2</v>
      </c>
      <c r="E125" s="348">
        <f t="shared" si="3"/>
        <v>0</v>
      </c>
      <c r="F125" s="348">
        <v>0.25</v>
      </c>
    </row>
    <row r="126" spans="1:6" ht="16">
      <c r="A126" s="352" t="s">
        <v>756</v>
      </c>
      <c r="B126" s="50" t="s">
        <v>98</v>
      </c>
      <c r="C126" s="3">
        <v>9.1901843768762981E-2</v>
      </c>
      <c r="D126" s="346">
        <f t="shared" si="2"/>
        <v>0.15684417564714032</v>
      </c>
      <c r="E126" s="348">
        <f t="shared" si="3"/>
        <v>0.10844417564714032</v>
      </c>
      <c r="F126" s="348">
        <v>0.23880784381827033</v>
      </c>
    </row>
    <row r="127" spans="1:6" ht="16">
      <c r="A127" s="44" t="s">
        <v>316</v>
      </c>
      <c r="B127" s="50" t="s">
        <v>689</v>
      </c>
      <c r="C127" s="346">
        <v>0</v>
      </c>
      <c r="D127" s="346">
        <f t="shared" si="2"/>
        <v>4.8399999999999999E-2</v>
      </c>
      <c r="E127" s="348">
        <f t="shared" si="3"/>
        <v>0</v>
      </c>
      <c r="F127" s="348">
        <v>0.28000000000000003</v>
      </c>
    </row>
    <row r="128" spans="1:6" ht="16">
      <c r="A128" s="44" t="s">
        <v>373</v>
      </c>
      <c r="B128" s="50" t="s">
        <v>687</v>
      </c>
      <c r="C128" s="346">
        <v>9.2022923954048486E-2</v>
      </c>
      <c r="D128" s="346">
        <f t="shared" si="2"/>
        <v>0.15698705026577719</v>
      </c>
      <c r="E128" s="348">
        <f t="shared" si="3"/>
        <v>0.10858705026577721</v>
      </c>
      <c r="F128" s="348">
        <v>0.3</v>
      </c>
    </row>
    <row r="129" spans="1:6" ht="16">
      <c r="A129" s="44" t="s">
        <v>717</v>
      </c>
      <c r="B129" s="50" t="s">
        <v>696</v>
      </c>
      <c r="C129" s="346">
        <v>0.10876807896863763</v>
      </c>
      <c r="D129" s="346">
        <f t="shared" si="2"/>
        <v>0.1767463331829924</v>
      </c>
      <c r="E129" s="348">
        <f t="shared" si="3"/>
        <v>0.12834633318299241</v>
      </c>
      <c r="F129" s="348">
        <v>0.3236</v>
      </c>
    </row>
    <row r="130" spans="1:6" ht="16">
      <c r="A130" s="44" t="s">
        <v>317</v>
      </c>
      <c r="B130" s="50" t="s">
        <v>687</v>
      </c>
      <c r="C130" s="346">
        <v>9.2022923954048486E-2</v>
      </c>
      <c r="D130" s="346">
        <f t="shared" si="2"/>
        <v>0.15698705026577719</v>
      </c>
      <c r="E130" s="348">
        <f t="shared" si="3"/>
        <v>0.10858705026577721</v>
      </c>
      <c r="F130" s="348">
        <v>0.3</v>
      </c>
    </row>
    <row r="131" spans="1:6" ht="16">
      <c r="A131" s="44" t="s">
        <v>318</v>
      </c>
      <c r="B131" s="50" t="s">
        <v>689</v>
      </c>
      <c r="C131" s="346">
        <v>0</v>
      </c>
      <c r="D131" s="346">
        <f t="shared" si="2"/>
        <v>4.8399999999999999E-2</v>
      </c>
      <c r="E131" s="348">
        <f t="shared" si="3"/>
        <v>0</v>
      </c>
      <c r="F131" s="348">
        <v>0.22</v>
      </c>
    </row>
    <row r="132" spans="1:6" ht="16">
      <c r="A132" s="44" t="s">
        <v>319</v>
      </c>
      <c r="B132" s="50" t="s">
        <v>704</v>
      </c>
      <c r="C132" s="346">
        <v>4.1787458910281045E-2</v>
      </c>
      <c r="D132" s="346">
        <f t="shared" si="2"/>
        <v>9.7709201514131622E-2</v>
      </c>
      <c r="E132" s="348">
        <f t="shared" si="3"/>
        <v>4.930920151413163E-2</v>
      </c>
      <c r="F132" s="348">
        <v>0.15</v>
      </c>
    </row>
    <row r="133" spans="1:6" ht="16">
      <c r="A133" s="44" t="s">
        <v>320</v>
      </c>
      <c r="B133" s="50" t="s">
        <v>696</v>
      </c>
      <c r="C133" s="346">
        <v>0.10876807896863763</v>
      </c>
      <c r="D133" s="346">
        <f t="shared" si="2"/>
        <v>0.1767463331829924</v>
      </c>
      <c r="E133" s="348">
        <f t="shared" si="3"/>
        <v>0.12834633318299241</v>
      </c>
      <c r="F133" s="348">
        <v>0.3</v>
      </c>
    </row>
    <row r="134" spans="1:6" ht="16">
      <c r="A134" s="352" t="s">
        <v>757</v>
      </c>
      <c r="B134" s="50" t="s">
        <v>98</v>
      </c>
      <c r="C134" s="3">
        <v>2.6703970654424196E-2</v>
      </c>
      <c r="D134" s="346">
        <f t="shared" ref="D134:D190" si="4">$B$1+E134</f>
        <v>7.9910685372220541E-2</v>
      </c>
      <c r="E134" s="348">
        <f t="shared" ref="E134:E190" si="5">C134*1.18</f>
        <v>3.151068537222055E-2</v>
      </c>
      <c r="F134" s="348">
        <v>0.27365796295286726</v>
      </c>
    </row>
    <row r="135" spans="1:6" ht="16">
      <c r="A135" s="44" t="s">
        <v>321</v>
      </c>
      <c r="B135" s="50" t="s">
        <v>688</v>
      </c>
      <c r="C135" s="346">
        <v>2.6701733671912434E-2</v>
      </c>
      <c r="D135" s="346">
        <f t="shared" si="4"/>
        <v>7.9908045732856675E-2</v>
      </c>
      <c r="E135" s="348">
        <f t="shared" si="5"/>
        <v>3.150804573285667E-2</v>
      </c>
      <c r="F135" s="348">
        <v>0.25</v>
      </c>
    </row>
    <row r="136" spans="1:6" ht="16">
      <c r="A136" s="44" t="s">
        <v>322</v>
      </c>
      <c r="B136" s="50" t="s">
        <v>687</v>
      </c>
      <c r="C136" s="346">
        <v>9.2022923954048486E-2</v>
      </c>
      <c r="D136" s="346">
        <f t="shared" si="4"/>
        <v>0.15698705026577719</v>
      </c>
      <c r="E136" s="348">
        <f t="shared" si="5"/>
        <v>0.10858705026577721</v>
      </c>
      <c r="F136" s="348">
        <v>0.3</v>
      </c>
    </row>
    <row r="137" spans="1:6" ht="16">
      <c r="A137" s="44" t="s">
        <v>323</v>
      </c>
      <c r="B137" s="50" t="s">
        <v>704</v>
      </c>
      <c r="C137" s="346">
        <v>4.1787458910281045E-2</v>
      </c>
      <c r="D137" s="346">
        <f t="shared" si="4"/>
        <v>9.7709201514131622E-2</v>
      </c>
      <c r="E137" s="348">
        <f t="shared" si="5"/>
        <v>4.930920151413163E-2</v>
      </c>
      <c r="F137" s="348">
        <v>0.1</v>
      </c>
    </row>
    <row r="138" spans="1:6" ht="16">
      <c r="A138" s="44" t="s">
        <v>324</v>
      </c>
      <c r="B138" s="50" t="s">
        <v>702</v>
      </c>
      <c r="C138" s="346">
        <v>2.0064014567030247E-2</v>
      </c>
      <c r="D138" s="346">
        <f t="shared" si="4"/>
        <v>7.2075537189095693E-2</v>
      </c>
      <c r="E138" s="348">
        <f t="shared" si="5"/>
        <v>2.367553718909569E-2</v>
      </c>
      <c r="F138" s="348">
        <v>0.29499999999999998</v>
      </c>
    </row>
    <row r="139" spans="1:6" ht="16">
      <c r="A139" s="44" t="s">
        <v>325</v>
      </c>
      <c r="B139" s="50" t="s">
        <v>686</v>
      </c>
      <c r="C139" s="346">
        <v>3.1830880252957758E-2</v>
      </c>
      <c r="D139" s="346">
        <f t="shared" si="4"/>
        <v>8.5960438698490155E-2</v>
      </c>
      <c r="E139" s="348">
        <f t="shared" si="5"/>
        <v>3.7560438698490149E-2</v>
      </c>
      <c r="F139" s="348">
        <v>0.3</v>
      </c>
    </row>
    <row r="140" spans="1:6" ht="16">
      <c r="A140" s="44" t="s">
        <v>326</v>
      </c>
      <c r="B140" s="50" t="s">
        <v>698</v>
      </c>
      <c r="C140" s="346">
        <v>1.4180581724066488E-2</v>
      </c>
      <c r="D140" s="346">
        <f t="shared" si="4"/>
        <v>6.5133086434398454E-2</v>
      </c>
      <c r="E140" s="348">
        <f t="shared" si="5"/>
        <v>1.6733086434398456E-2</v>
      </c>
      <c r="F140" s="348">
        <v>0.19</v>
      </c>
    </row>
    <row r="141" spans="1:6" ht="16">
      <c r="A141" s="44" t="s">
        <v>327</v>
      </c>
      <c r="B141" s="50" t="s">
        <v>692</v>
      </c>
      <c r="C141" s="346">
        <v>3.6809169581619394E-2</v>
      </c>
      <c r="D141" s="346">
        <f t="shared" si="4"/>
        <v>9.1834820106310888E-2</v>
      </c>
      <c r="E141" s="348">
        <f t="shared" si="5"/>
        <v>4.3434820106310883E-2</v>
      </c>
      <c r="F141" s="348">
        <v>0.21</v>
      </c>
    </row>
    <row r="142" spans="1:6" ht="16">
      <c r="A142" s="44" t="s">
        <v>328</v>
      </c>
      <c r="B142" s="50" t="s">
        <v>695</v>
      </c>
      <c r="C142" s="346">
        <v>1.0107435909706966E-2</v>
      </c>
      <c r="D142" s="346">
        <f t="shared" si="4"/>
        <v>6.0326774373454219E-2</v>
      </c>
      <c r="E142" s="348">
        <f t="shared" si="5"/>
        <v>1.1926774373454218E-2</v>
      </c>
      <c r="F142" s="348">
        <v>0.1</v>
      </c>
    </row>
    <row r="143" spans="1:6" ht="16">
      <c r="A143" s="44" t="s">
        <v>506</v>
      </c>
      <c r="B143" s="50" t="s">
        <v>694</v>
      </c>
      <c r="C143" s="346">
        <v>0.12536237673084313</v>
      </c>
      <c r="D143" s="346">
        <f t="shared" si="4"/>
        <v>0.1963276045423949</v>
      </c>
      <c r="E143" s="348">
        <f t="shared" si="5"/>
        <v>0.1479276045423949</v>
      </c>
      <c r="F143" s="287">
        <v>0</v>
      </c>
    </row>
    <row r="144" spans="1:6" ht="16">
      <c r="A144" s="352" t="s">
        <v>758</v>
      </c>
      <c r="B144" s="50" t="s">
        <v>98</v>
      </c>
      <c r="C144" s="3">
        <v>1.7175963887786694E-2</v>
      </c>
      <c r="D144" s="346">
        <f t="shared" si="4"/>
        <v>6.8667637387588298E-2</v>
      </c>
      <c r="E144" s="348">
        <f t="shared" si="5"/>
        <v>2.0267637387588296E-2</v>
      </c>
      <c r="F144" s="348">
        <v>0.26117492980590945</v>
      </c>
    </row>
    <row r="145" spans="1:6" ht="16">
      <c r="A145" s="44" t="s">
        <v>329</v>
      </c>
      <c r="B145" s="50" t="s">
        <v>692</v>
      </c>
      <c r="C145" s="346">
        <v>3.6809169581619394E-2</v>
      </c>
      <c r="D145" s="346">
        <f t="shared" si="4"/>
        <v>9.1834820106310888E-2</v>
      </c>
      <c r="E145" s="348">
        <f t="shared" si="5"/>
        <v>4.3434820106310883E-2</v>
      </c>
      <c r="F145" s="348">
        <v>0.16</v>
      </c>
    </row>
    <row r="146" spans="1:6" ht="16">
      <c r="A146" s="44" t="s">
        <v>330</v>
      </c>
      <c r="B146" s="50" t="s">
        <v>692</v>
      </c>
      <c r="C146" s="346">
        <v>3.6809169581619394E-2</v>
      </c>
      <c r="D146" s="346">
        <f t="shared" si="4"/>
        <v>9.1834820106310888E-2</v>
      </c>
      <c r="E146" s="348">
        <f t="shared" si="5"/>
        <v>4.3434820106310883E-2</v>
      </c>
      <c r="F146" s="348">
        <v>0.2</v>
      </c>
    </row>
    <row r="147" spans="1:6" ht="16">
      <c r="A147" s="44" t="s">
        <v>493</v>
      </c>
      <c r="B147" s="50" t="s">
        <v>687</v>
      </c>
      <c r="C147" s="346">
        <v>9.2022923954048486E-2</v>
      </c>
      <c r="D147" s="346">
        <f t="shared" si="4"/>
        <v>0.15698705026577719</v>
      </c>
      <c r="E147" s="348">
        <f t="shared" si="5"/>
        <v>0.10858705026577721</v>
      </c>
      <c r="F147" s="348">
        <v>0.3</v>
      </c>
    </row>
    <row r="148" spans="1:6" ht="16">
      <c r="A148" s="351" t="s">
        <v>759</v>
      </c>
      <c r="B148" s="50" t="s">
        <v>98</v>
      </c>
      <c r="C148" s="3">
        <v>9.1901843768762981E-2</v>
      </c>
      <c r="D148" s="346">
        <f t="shared" si="4"/>
        <v>0.15684417564714032</v>
      </c>
      <c r="E148" s="348">
        <f t="shared" si="5"/>
        <v>0.10844417564714032</v>
      </c>
      <c r="F148" s="287">
        <v>0.23880784381827033</v>
      </c>
    </row>
    <row r="149" spans="1:6" ht="16">
      <c r="A149" s="44" t="s">
        <v>331</v>
      </c>
      <c r="B149" s="50" t="s">
        <v>700</v>
      </c>
      <c r="C149" s="346">
        <v>1.1766865685927512E-2</v>
      </c>
      <c r="D149" s="346">
        <f t="shared" si="4"/>
        <v>6.2284901509394461E-2</v>
      </c>
      <c r="E149" s="348">
        <f t="shared" si="5"/>
        <v>1.3884901509394464E-2</v>
      </c>
      <c r="F149" s="348">
        <v>0.2</v>
      </c>
    </row>
    <row r="150" spans="1:6" ht="16">
      <c r="A150" s="44" t="s">
        <v>374</v>
      </c>
      <c r="B150" s="50" t="s">
        <v>693</v>
      </c>
      <c r="C150" s="346">
        <v>6.0192043701090742E-2</v>
      </c>
      <c r="D150" s="346">
        <f t="shared" si="4"/>
        <v>0.11942661156728707</v>
      </c>
      <c r="E150" s="348">
        <f t="shared" si="5"/>
        <v>7.1026611567287068E-2</v>
      </c>
      <c r="F150" s="348">
        <v>0.3</v>
      </c>
    </row>
    <row r="151" spans="1:6" ht="16">
      <c r="A151" s="44" t="s">
        <v>332</v>
      </c>
      <c r="B151" s="50" t="s">
        <v>693</v>
      </c>
      <c r="C151" s="346">
        <v>6.0192043701090742E-2</v>
      </c>
      <c r="D151" s="346">
        <f t="shared" si="4"/>
        <v>0.11942661156728707</v>
      </c>
      <c r="E151" s="348">
        <f t="shared" si="5"/>
        <v>7.1026611567287068E-2</v>
      </c>
      <c r="F151" s="348">
        <v>0.15</v>
      </c>
    </row>
    <row r="152" spans="1:6" ht="16">
      <c r="A152" s="44" t="s">
        <v>507</v>
      </c>
      <c r="B152" s="50" t="s">
        <v>702</v>
      </c>
      <c r="C152" s="346">
        <v>2.0064014567030247E-2</v>
      </c>
      <c r="D152" s="346">
        <f t="shared" si="4"/>
        <v>7.2075537189095693E-2</v>
      </c>
      <c r="E152" s="348">
        <f t="shared" si="5"/>
        <v>2.367553718909569E-2</v>
      </c>
      <c r="F152" s="348">
        <v>0</v>
      </c>
    </row>
    <row r="153" spans="1:6" ht="16">
      <c r="A153" s="347" t="s">
        <v>718</v>
      </c>
      <c r="B153" s="50" t="s">
        <v>98</v>
      </c>
      <c r="C153" s="287">
        <v>0.16714983564112421</v>
      </c>
      <c r="D153" s="346">
        <f t="shared" si="4"/>
        <v>0.24563680605652655</v>
      </c>
      <c r="E153" s="348">
        <f t="shared" si="5"/>
        <v>0.19723680605652655</v>
      </c>
      <c r="F153" s="348">
        <v>0.3</v>
      </c>
    </row>
    <row r="154" spans="1:6" ht="16">
      <c r="A154" s="44" t="s">
        <v>333</v>
      </c>
      <c r="B154" s="50" t="s">
        <v>689</v>
      </c>
      <c r="C154" s="346">
        <v>0</v>
      </c>
      <c r="D154" s="346">
        <f t="shared" si="4"/>
        <v>4.8399999999999999E-2</v>
      </c>
      <c r="E154" s="348">
        <f t="shared" si="5"/>
        <v>0</v>
      </c>
      <c r="F154" s="287">
        <v>0.17</v>
      </c>
    </row>
    <row r="155" spans="1:6" ht="16">
      <c r="A155" s="44" t="s">
        <v>375</v>
      </c>
      <c r="B155" s="50" t="s">
        <v>698</v>
      </c>
      <c r="C155" s="346">
        <v>1.4180581724066488E-2</v>
      </c>
      <c r="D155" s="346">
        <f t="shared" si="4"/>
        <v>6.5133086434398454E-2</v>
      </c>
      <c r="E155" s="348">
        <f t="shared" si="5"/>
        <v>1.6733086434398456E-2</v>
      </c>
      <c r="F155" s="348">
        <v>0.21</v>
      </c>
    </row>
    <row r="156" spans="1:6" ht="16">
      <c r="A156" s="44" t="s">
        <v>334</v>
      </c>
      <c r="B156" s="50" t="s">
        <v>688</v>
      </c>
      <c r="C156" s="346">
        <v>2.6701733671912434E-2</v>
      </c>
      <c r="D156" s="346">
        <f t="shared" si="4"/>
        <v>7.9908045732856675E-2</v>
      </c>
      <c r="E156" s="348">
        <f t="shared" si="5"/>
        <v>3.150804573285667E-2</v>
      </c>
      <c r="F156" s="348">
        <v>0.19</v>
      </c>
    </row>
    <row r="157" spans="1:6" ht="16">
      <c r="A157" s="44" t="s">
        <v>719</v>
      </c>
      <c r="B157" s="50" t="s">
        <v>696</v>
      </c>
      <c r="C157" s="346">
        <v>0.10876807896863763</v>
      </c>
      <c r="D157" s="346">
        <f t="shared" si="4"/>
        <v>0.1767463331829924</v>
      </c>
      <c r="E157" s="348">
        <f t="shared" si="5"/>
        <v>0.12834633318299241</v>
      </c>
      <c r="F157" s="348">
        <v>0.3</v>
      </c>
    </row>
    <row r="158" spans="1:6" ht="16">
      <c r="A158" s="347" t="s">
        <v>720</v>
      </c>
      <c r="B158" s="50" t="s">
        <v>98</v>
      </c>
      <c r="C158" s="287">
        <v>0.20064014567030244</v>
      </c>
      <c r="D158" s="346">
        <f t="shared" si="4"/>
        <v>0.28515537189095685</v>
      </c>
      <c r="E158" s="348">
        <f t="shared" si="5"/>
        <v>0.23675537189095688</v>
      </c>
      <c r="F158" s="348">
        <v>0.29149999999999998</v>
      </c>
    </row>
    <row r="159" spans="1:6" ht="16">
      <c r="A159" s="44" t="s">
        <v>335</v>
      </c>
      <c r="B159" s="50" t="s">
        <v>692</v>
      </c>
      <c r="C159" s="346">
        <v>3.6809169581619394E-2</v>
      </c>
      <c r="D159" s="346">
        <f t="shared" si="4"/>
        <v>9.1834820106310888E-2</v>
      </c>
      <c r="E159" s="348">
        <f t="shared" si="5"/>
        <v>4.3434820106310883E-2</v>
      </c>
      <c r="F159" s="287">
        <v>0.28000000000000003</v>
      </c>
    </row>
    <row r="160" spans="1:6" ht="16">
      <c r="A160" s="44" t="s">
        <v>760</v>
      </c>
      <c r="B160" s="50" t="s">
        <v>683</v>
      </c>
      <c r="C160" s="346">
        <v>8.2971488811027332E-3</v>
      </c>
      <c r="D160" s="346">
        <f t="shared" si="4"/>
        <v>5.8190635679701223E-2</v>
      </c>
      <c r="E160" s="348">
        <f t="shared" si="5"/>
        <v>9.7906356797012248E-3</v>
      </c>
      <c r="F160" s="348">
        <v>0.25</v>
      </c>
    </row>
    <row r="161" spans="1:6" ht="16">
      <c r="A161" s="44" t="s">
        <v>336</v>
      </c>
      <c r="B161" s="50" t="s">
        <v>688</v>
      </c>
      <c r="C161" s="346">
        <v>2.6701733671912434E-2</v>
      </c>
      <c r="D161" s="346">
        <f t="shared" si="4"/>
        <v>7.9908045732856675E-2</v>
      </c>
      <c r="E161" s="348">
        <f t="shared" si="5"/>
        <v>3.150804573285667E-2</v>
      </c>
      <c r="F161" s="348">
        <v>0.25</v>
      </c>
    </row>
    <row r="162" spans="1:6" ht="16">
      <c r="A162" s="44" t="s">
        <v>337</v>
      </c>
      <c r="B162" s="50" t="s">
        <v>687</v>
      </c>
      <c r="C162" s="346">
        <v>9.2022923954048486E-2</v>
      </c>
      <c r="D162" s="346">
        <f t="shared" si="4"/>
        <v>0.15698705026577719</v>
      </c>
      <c r="E162" s="348">
        <f t="shared" si="5"/>
        <v>0.10858705026577721</v>
      </c>
      <c r="F162" s="348">
        <v>0.28000000000000003</v>
      </c>
    </row>
    <row r="163" spans="1:6" ht="16">
      <c r="A163" s="44" t="s">
        <v>433</v>
      </c>
      <c r="B163" s="50" t="s">
        <v>692</v>
      </c>
      <c r="C163" s="346">
        <v>3.6809169581619394E-2</v>
      </c>
      <c r="D163" s="346">
        <f t="shared" si="4"/>
        <v>9.1834820106310888E-2</v>
      </c>
      <c r="E163" s="348">
        <f t="shared" si="5"/>
        <v>4.3434820106310883E-2</v>
      </c>
      <c r="F163" s="348">
        <v>0.35</v>
      </c>
    </row>
    <row r="164" spans="1:6" ht="16">
      <c r="A164" s="44" t="s">
        <v>376</v>
      </c>
      <c r="B164" s="50" t="s">
        <v>696</v>
      </c>
      <c r="C164" s="346">
        <v>0.10876807896863763</v>
      </c>
      <c r="D164" s="346">
        <f t="shared" si="4"/>
        <v>0.1767463331829924</v>
      </c>
      <c r="E164" s="348">
        <f t="shared" si="5"/>
        <v>0.12834633318299241</v>
      </c>
      <c r="F164" s="287">
        <v>0.3</v>
      </c>
    </row>
    <row r="165" spans="1:6" ht="16">
      <c r="A165" s="347" t="s">
        <v>721</v>
      </c>
      <c r="B165" s="50" t="s">
        <v>98</v>
      </c>
      <c r="C165" s="287">
        <v>0.28000000000000003</v>
      </c>
      <c r="D165" s="346">
        <f t="shared" si="4"/>
        <v>0.37880000000000003</v>
      </c>
      <c r="E165" s="348">
        <f t="shared" si="5"/>
        <v>0.33040000000000003</v>
      </c>
      <c r="F165" s="348">
        <v>0.35</v>
      </c>
    </row>
    <row r="166" spans="1:6" ht="16">
      <c r="A166" s="44" t="s">
        <v>377</v>
      </c>
      <c r="B166" s="50" t="s">
        <v>687</v>
      </c>
      <c r="C166" s="346">
        <v>9.2022923954048486E-2</v>
      </c>
      <c r="D166" s="346">
        <f t="shared" si="4"/>
        <v>0.15698705026577719</v>
      </c>
      <c r="E166" s="348">
        <f t="shared" si="5"/>
        <v>0.10858705026577721</v>
      </c>
      <c r="F166" s="348">
        <v>0.36</v>
      </c>
    </row>
    <row r="167" spans="1:6" ht="16">
      <c r="A167" s="44" t="s">
        <v>722</v>
      </c>
      <c r="B167" s="50" t="s">
        <v>687</v>
      </c>
      <c r="C167" s="346">
        <v>9.2022923954048486E-2</v>
      </c>
      <c r="D167" s="346">
        <f t="shared" si="4"/>
        <v>0.15698705026577719</v>
      </c>
      <c r="E167" s="348">
        <f t="shared" si="5"/>
        <v>0.10858705026577721</v>
      </c>
      <c r="F167" s="348">
        <v>0.27500000000000002</v>
      </c>
    </row>
    <row r="168" spans="1:6" ht="16">
      <c r="A168" s="44" t="s">
        <v>338</v>
      </c>
      <c r="B168" s="50" t="s">
        <v>689</v>
      </c>
      <c r="C168" s="346">
        <v>0</v>
      </c>
      <c r="D168" s="346">
        <f t="shared" si="4"/>
        <v>4.8399999999999999E-2</v>
      </c>
      <c r="E168" s="348">
        <f t="shared" si="5"/>
        <v>0</v>
      </c>
      <c r="F168" s="348">
        <v>0.214</v>
      </c>
    </row>
    <row r="169" spans="1:6" ht="16">
      <c r="A169" s="44" t="s">
        <v>339</v>
      </c>
      <c r="B169" s="50" t="s">
        <v>689</v>
      </c>
      <c r="C169" s="346">
        <v>0</v>
      </c>
      <c r="D169" s="346">
        <f t="shared" si="4"/>
        <v>4.8399999999999999E-2</v>
      </c>
      <c r="E169" s="348">
        <f t="shared" si="5"/>
        <v>0</v>
      </c>
      <c r="F169" s="348">
        <v>0.18</v>
      </c>
    </row>
    <row r="170" spans="1:6" ht="16">
      <c r="A170" s="347" t="s">
        <v>723</v>
      </c>
      <c r="B170" s="50" t="s">
        <v>98</v>
      </c>
      <c r="C170" s="287">
        <v>0.20064014567030244</v>
      </c>
      <c r="D170" s="346">
        <f t="shared" si="4"/>
        <v>0.28515537189095685</v>
      </c>
      <c r="E170" s="348">
        <f t="shared" si="5"/>
        <v>0.23675537189095688</v>
      </c>
      <c r="F170" s="348">
        <v>0.28000000000000003</v>
      </c>
    </row>
    <row r="171" spans="1:6" ht="16">
      <c r="A171" s="44" t="s">
        <v>340</v>
      </c>
      <c r="B171" s="50" t="s">
        <v>695</v>
      </c>
      <c r="C171" s="346">
        <v>1.0107435909706966E-2</v>
      </c>
      <c r="D171" s="346">
        <f t="shared" si="4"/>
        <v>6.0326774373454219E-2</v>
      </c>
      <c r="E171" s="348">
        <f t="shared" si="5"/>
        <v>1.1926774373454218E-2</v>
      </c>
      <c r="F171" s="348">
        <v>0.2</v>
      </c>
    </row>
    <row r="172" spans="1:6" ht="16">
      <c r="A172" s="44" t="s">
        <v>724</v>
      </c>
      <c r="B172" s="50" t="s">
        <v>696</v>
      </c>
      <c r="C172" s="346">
        <v>0.10876807896863763</v>
      </c>
      <c r="D172" s="346">
        <f t="shared" si="4"/>
        <v>0.1767463331829924</v>
      </c>
      <c r="E172" s="348">
        <f t="shared" si="5"/>
        <v>0.12834633318299241</v>
      </c>
      <c r="F172" s="348">
        <v>0.3019</v>
      </c>
    </row>
    <row r="173" spans="1:6" ht="16">
      <c r="A173" s="44" t="s">
        <v>725</v>
      </c>
      <c r="B173" s="50" t="s">
        <v>684</v>
      </c>
      <c r="C173" s="346">
        <v>7.5277768939459352E-2</v>
      </c>
      <c r="D173" s="346">
        <f t="shared" si="4"/>
        <v>0.13722776734856201</v>
      </c>
      <c r="E173" s="348">
        <f t="shared" si="5"/>
        <v>8.8827767348562028E-2</v>
      </c>
      <c r="F173" s="348">
        <v>0.3</v>
      </c>
    </row>
    <row r="174" spans="1:6" ht="16">
      <c r="A174" s="44" t="s">
        <v>341</v>
      </c>
      <c r="B174" s="50" t="s">
        <v>688</v>
      </c>
      <c r="C174" s="346">
        <v>2.6701733671912434E-2</v>
      </c>
      <c r="D174" s="346">
        <f t="shared" si="4"/>
        <v>7.9908045732856675E-2</v>
      </c>
      <c r="E174" s="348">
        <f t="shared" si="5"/>
        <v>3.150804573285667E-2</v>
      </c>
      <c r="F174" s="348">
        <v>0.2</v>
      </c>
    </row>
    <row r="175" spans="1:6" ht="16">
      <c r="A175" s="44" t="s">
        <v>726</v>
      </c>
      <c r="B175" s="50" t="s">
        <v>696</v>
      </c>
      <c r="C175" s="346">
        <v>0.10876807896863763</v>
      </c>
      <c r="D175" s="346">
        <f t="shared" si="4"/>
        <v>0.1767463331829924</v>
      </c>
      <c r="E175" s="348">
        <f t="shared" si="5"/>
        <v>0.12834633318299241</v>
      </c>
      <c r="F175" s="348">
        <v>0.3236</v>
      </c>
    </row>
    <row r="176" spans="1:6" ht="16">
      <c r="A176" s="44" t="s">
        <v>733</v>
      </c>
      <c r="B176" s="50" t="s">
        <v>704</v>
      </c>
      <c r="C176" s="346">
        <v>4.1787458910281045E-2</v>
      </c>
      <c r="D176" s="346">
        <f t="shared" si="4"/>
        <v>9.7709201514131622E-2</v>
      </c>
      <c r="E176" s="348">
        <f t="shared" si="5"/>
        <v>4.930920151413163E-2</v>
      </c>
      <c r="F176" s="348">
        <v>0.25</v>
      </c>
    </row>
    <row r="177" spans="1:6" ht="16">
      <c r="A177" s="44" t="s">
        <v>342</v>
      </c>
      <c r="B177" s="50" t="s">
        <v>687</v>
      </c>
      <c r="C177" s="346">
        <v>9.2022923954048486E-2</v>
      </c>
      <c r="D177" s="346">
        <f t="shared" si="4"/>
        <v>0.15698705026577719</v>
      </c>
      <c r="E177" s="348">
        <f t="shared" si="5"/>
        <v>0.10858705026577721</v>
      </c>
      <c r="F177" s="287">
        <v>0.25</v>
      </c>
    </row>
    <row r="178" spans="1:6" ht="16">
      <c r="A178" s="44" t="s">
        <v>343</v>
      </c>
      <c r="B178" s="50" t="s">
        <v>684</v>
      </c>
      <c r="C178" s="346">
        <v>7.5277768939459352E-2</v>
      </c>
      <c r="D178" s="346">
        <f t="shared" si="4"/>
        <v>0.13722776734856201</v>
      </c>
      <c r="E178" s="348">
        <f t="shared" si="5"/>
        <v>8.8827767348562028E-2</v>
      </c>
      <c r="F178" s="348">
        <v>0.22</v>
      </c>
    </row>
    <row r="179" spans="1:6" ht="16">
      <c r="A179" s="44" t="s">
        <v>734</v>
      </c>
      <c r="B179" s="50" t="s">
        <v>688</v>
      </c>
      <c r="C179" s="346">
        <v>2.6701733671912434E-2</v>
      </c>
      <c r="D179" s="346">
        <f t="shared" si="4"/>
        <v>7.9908045732856675E-2</v>
      </c>
      <c r="E179" s="348">
        <f t="shared" si="5"/>
        <v>3.150804573285667E-2</v>
      </c>
      <c r="F179" s="287">
        <v>0</v>
      </c>
    </row>
    <row r="180" spans="1:6" ht="16">
      <c r="A180" s="44" t="s">
        <v>434</v>
      </c>
      <c r="B180" s="50" t="s">
        <v>687</v>
      </c>
      <c r="C180" s="346">
        <v>9.2022923954048486E-2</v>
      </c>
      <c r="D180" s="346">
        <f t="shared" si="4"/>
        <v>0.15698705026577719</v>
      </c>
      <c r="E180" s="348">
        <f t="shared" si="5"/>
        <v>0.10858705026577721</v>
      </c>
      <c r="F180" s="3">
        <v>0.3</v>
      </c>
    </row>
    <row r="181" spans="1:6" ht="16">
      <c r="A181" s="44" t="s">
        <v>344</v>
      </c>
      <c r="B181" s="50" t="s">
        <v>694</v>
      </c>
      <c r="C181" s="346">
        <v>0.12536237673084313</v>
      </c>
      <c r="D181" s="346">
        <f t="shared" si="4"/>
        <v>0.1963276045423949</v>
      </c>
      <c r="E181" s="348">
        <f t="shared" si="5"/>
        <v>0.1479276045423949</v>
      </c>
      <c r="F181" s="3">
        <v>0.18</v>
      </c>
    </row>
    <row r="182" spans="1:6" ht="16">
      <c r="A182" s="44" t="s">
        <v>345</v>
      </c>
      <c r="B182" s="50" t="s">
        <v>683</v>
      </c>
      <c r="C182" s="346">
        <v>8.2971488811027332E-3</v>
      </c>
      <c r="D182" s="346">
        <f t="shared" si="4"/>
        <v>5.8190635679701223E-2</v>
      </c>
      <c r="E182" s="348">
        <f t="shared" si="5"/>
        <v>9.7906356797012248E-3</v>
      </c>
      <c r="F182" s="3">
        <v>0.55000000000000004</v>
      </c>
    </row>
    <row r="183" spans="1:6" ht="16">
      <c r="A183" s="44" t="s">
        <v>346</v>
      </c>
      <c r="B183" s="50" t="s">
        <v>683</v>
      </c>
      <c r="C183" s="346">
        <v>8.2971488811027332E-3</v>
      </c>
      <c r="D183" s="346">
        <f t="shared" si="4"/>
        <v>5.8190635679701223E-2</v>
      </c>
      <c r="E183" s="348">
        <f t="shared" si="5"/>
        <v>9.7906356797012248E-3</v>
      </c>
      <c r="F183" s="3">
        <v>0.19</v>
      </c>
    </row>
    <row r="184" spans="1:6" ht="16">
      <c r="A184" s="44" t="s">
        <v>347</v>
      </c>
      <c r="B184" s="50" t="s">
        <v>689</v>
      </c>
      <c r="C184" s="346">
        <v>0</v>
      </c>
      <c r="D184" s="346">
        <f t="shared" si="4"/>
        <v>4.8399999999999999E-2</v>
      </c>
      <c r="E184" s="348">
        <f t="shared" si="5"/>
        <v>0</v>
      </c>
      <c r="F184" s="3">
        <v>0.25</v>
      </c>
    </row>
    <row r="185" spans="1:6" ht="16">
      <c r="A185" s="44" t="s">
        <v>348</v>
      </c>
      <c r="B185" s="50" t="s">
        <v>684</v>
      </c>
      <c r="C185" s="346">
        <v>7.5277768939459352E-2</v>
      </c>
      <c r="D185" s="346">
        <f t="shared" si="4"/>
        <v>0.13722776734856201</v>
      </c>
      <c r="E185" s="348">
        <f t="shared" si="5"/>
        <v>8.8827767348562028E-2</v>
      </c>
      <c r="F185" s="3">
        <v>0.25</v>
      </c>
    </row>
    <row r="186" spans="1:6" ht="16">
      <c r="A186" s="44" t="s">
        <v>349</v>
      </c>
      <c r="B186" s="50" t="s">
        <v>735</v>
      </c>
      <c r="C186" s="346">
        <v>0.3</v>
      </c>
      <c r="D186" s="346">
        <f t="shared" si="4"/>
        <v>0.40239999999999998</v>
      </c>
      <c r="E186" s="348">
        <f t="shared" si="5"/>
        <v>0.35399999999999998</v>
      </c>
      <c r="F186" s="3">
        <v>0.34</v>
      </c>
    </row>
    <row r="187" spans="1:6" ht="16">
      <c r="A187" s="44" t="s">
        <v>350</v>
      </c>
      <c r="B187" s="50" t="s">
        <v>693</v>
      </c>
      <c r="C187" s="346">
        <v>6.0192043701090742E-2</v>
      </c>
      <c r="D187" s="346">
        <f t="shared" si="4"/>
        <v>0.11942661156728707</v>
      </c>
      <c r="E187" s="348">
        <f t="shared" si="5"/>
        <v>7.1026611567287068E-2</v>
      </c>
      <c r="F187" s="3">
        <v>0.2</v>
      </c>
    </row>
    <row r="188" spans="1:6" ht="16">
      <c r="A188" s="347" t="s">
        <v>761</v>
      </c>
      <c r="B188" s="50" t="s">
        <v>98</v>
      </c>
      <c r="C188" s="287">
        <v>0.20064014567030244</v>
      </c>
      <c r="D188" s="346">
        <f t="shared" si="4"/>
        <v>0.28515537189095685</v>
      </c>
      <c r="E188" s="348">
        <f t="shared" si="5"/>
        <v>0.23675537189095688</v>
      </c>
      <c r="F188" s="3">
        <v>0.2</v>
      </c>
    </row>
    <row r="189" spans="1:6" ht="16">
      <c r="A189" s="44" t="s">
        <v>351</v>
      </c>
      <c r="B189" s="50" t="s">
        <v>701</v>
      </c>
      <c r="C189" s="346">
        <v>0.1505555378789187</v>
      </c>
      <c r="D189" s="346">
        <f t="shared" si="4"/>
        <v>0.22605553469712406</v>
      </c>
      <c r="E189" s="348">
        <f t="shared" si="5"/>
        <v>0.17765553469712406</v>
      </c>
      <c r="F189" s="3">
        <v>0.35</v>
      </c>
    </row>
    <row r="190" spans="1:6" ht="16">
      <c r="A190" s="347" t="s">
        <v>727</v>
      </c>
      <c r="B190" s="354" t="s">
        <v>98</v>
      </c>
      <c r="C190" s="287">
        <v>0.20064014567030244</v>
      </c>
      <c r="D190" s="346">
        <f t="shared" si="4"/>
        <v>0.28515537189095685</v>
      </c>
      <c r="E190" s="348">
        <f t="shared" si="5"/>
        <v>0.23675537189095688</v>
      </c>
      <c r="F190" s="3">
        <v>0.25</v>
      </c>
    </row>
    <row r="193" spans="1:5">
      <c r="A193" s="253"/>
      <c r="B193" s="340" t="s">
        <v>379</v>
      </c>
      <c r="C193" s="340" t="s">
        <v>728</v>
      </c>
      <c r="D193" s="340" t="s">
        <v>140</v>
      </c>
      <c r="E193" s="343" t="s">
        <v>730</v>
      </c>
    </row>
    <row r="194" spans="1:5">
      <c r="A194" s="1" t="s">
        <v>358</v>
      </c>
      <c r="B194" s="3">
        <f>$B$1+E194</f>
        <v>0.14219429830834002</v>
      </c>
      <c r="C194" s="3">
        <v>7.9486693481644097E-2</v>
      </c>
      <c r="D194" s="3">
        <v>0.28491627824785853</v>
      </c>
      <c r="E194" s="3">
        <f>C194*1.18</f>
        <v>9.3794298308340032E-2</v>
      </c>
    </row>
    <row r="195" spans="1:5">
      <c r="A195" s="1" t="s">
        <v>431</v>
      </c>
      <c r="B195" s="3">
        <f t="shared" ref="B195:B202" si="6">$B$1+E195</f>
        <v>6.8667637387588298E-2</v>
      </c>
      <c r="C195" s="3">
        <v>1.7175963887786694E-2</v>
      </c>
      <c r="D195" s="3">
        <v>0.26117492980590945</v>
      </c>
      <c r="E195" s="3">
        <f t="shared" ref="E195:E202" si="7">C195*1.18</f>
        <v>2.0267637387588296E-2</v>
      </c>
    </row>
    <row r="196" spans="1:5">
      <c r="A196" s="1" t="s">
        <v>360</v>
      </c>
      <c r="B196" s="3">
        <f t="shared" si="6"/>
        <v>4.846499480710429E-2</v>
      </c>
      <c r="C196" s="3">
        <v>5.5080345003639482E-5</v>
      </c>
      <c r="D196" s="3">
        <v>0.29748948329622293</v>
      </c>
      <c r="E196" s="3">
        <f t="shared" si="7"/>
        <v>6.499480710429458E-5</v>
      </c>
    </row>
    <row r="197" spans="1:5">
      <c r="A197" s="1" t="s">
        <v>362</v>
      </c>
      <c r="B197" s="3">
        <f t="shared" si="6"/>
        <v>0.15684417564714032</v>
      </c>
      <c r="C197" s="3">
        <v>9.1901843768762981E-2</v>
      </c>
      <c r="D197" s="3">
        <v>0.23880784381827033</v>
      </c>
      <c r="E197" s="3">
        <f t="shared" si="7"/>
        <v>0.10844417564714032</v>
      </c>
    </row>
    <row r="198" spans="1:5">
      <c r="A198" s="1" t="s">
        <v>359</v>
      </c>
      <c r="B198" s="3">
        <f t="shared" si="6"/>
        <v>0.11400918714520372</v>
      </c>
      <c r="C198" s="3">
        <v>5.5601006055257397E-2</v>
      </c>
      <c r="D198" s="3">
        <v>0.30956473496523385</v>
      </c>
      <c r="E198" s="3">
        <f t="shared" si="7"/>
        <v>6.5609187145203723E-2</v>
      </c>
    </row>
    <row r="199" spans="1:5">
      <c r="A199" s="1" t="s">
        <v>357</v>
      </c>
      <c r="B199" s="3">
        <f t="shared" si="6"/>
        <v>9.1181454350323987E-2</v>
      </c>
      <c r="C199" s="3">
        <v>3.6255469788410155E-2</v>
      </c>
      <c r="D199" s="3">
        <v>0.18359794253833478</v>
      </c>
      <c r="E199" s="3">
        <f t="shared" si="7"/>
        <v>4.2781454350323982E-2</v>
      </c>
    </row>
    <row r="200" spans="1:5">
      <c r="A200" s="1" t="s">
        <v>363</v>
      </c>
      <c r="B200" s="3">
        <f t="shared" si="6"/>
        <v>7.9910685372220541E-2</v>
      </c>
      <c r="C200" s="3">
        <v>2.6703970654424196E-2</v>
      </c>
      <c r="D200" s="3">
        <v>0.27365796295286726</v>
      </c>
      <c r="E200" s="3">
        <f t="shared" si="7"/>
        <v>3.151068537222055E-2</v>
      </c>
    </row>
    <row r="201" spans="1:5">
      <c r="A201" s="1" t="s">
        <v>365</v>
      </c>
      <c r="B201" s="3">
        <f t="shared" si="6"/>
        <v>4.8399999999999999E-2</v>
      </c>
      <c r="C201" s="3">
        <v>0</v>
      </c>
      <c r="D201" s="3">
        <v>0.25115466300229849</v>
      </c>
      <c r="E201" s="3">
        <f t="shared" si="7"/>
        <v>0</v>
      </c>
    </row>
    <row r="202" spans="1:5">
      <c r="A202" s="1" t="s">
        <v>356</v>
      </c>
      <c r="B202" s="3">
        <f t="shared" si="6"/>
        <v>6.4623212142093642E-2</v>
      </c>
      <c r="C202" s="3">
        <v>1.3748484866181051E-2</v>
      </c>
      <c r="D202" s="3">
        <v>0.25037012452417917</v>
      </c>
      <c r="E202" s="3">
        <f t="shared" si="7"/>
        <v>1.622321214209364E-2</v>
      </c>
    </row>
    <row r="203" spans="1:5">
      <c r="A203" s="1"/>
      <c r="C203" s="324"/>
    </row>
    <row r="204" spans="1:5">
      <c r="A204" s="1" t="s">
        <v>494</v>
      </c>
      <c r="B204" s="3">
        <f>$B$1+E204</f>
        <v>6.7987999999999993E-2</v>
      </c>
      <c r="C204" s="3">
        <v>1.66E-2</v>
      </c>
      <c r="D204" s="3">
        <v>0.25700000000000001</v>
      </c>
      <c r="E204" s="3">
        <f>C204*1.18</f>
        <v>1.9587999999999998E-2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13" workbookViewId="0">
      <selection activeCell="C45" sqref="C45"/>
    </sheetView>
  </sheetViews>
  <sheetFormatPr baseColWidth="10" defaultRowHeight="13"/>
  <sheetData>
    <row r="1" spans="1:10" ht="19">
      <c r="A1" s="6" t="s">
        <v>212</v>
      </c>
    </row>
    <row r="2" spans="1:10" ht="19">
      <c r="A2" s="6" t="s">
        <v>213</v>
      </c>
    </row>
    <row r="3" spans="1:10" s="130" customFormat="1" ht="17" thickBot="1">
      <c r="A3" s="129" t="s">
        <v>214</v>
      </c>
    </row>
    <row r="4" spans="1:10" s="131" customFormat="1" ht="15" thickBot="1">
      <c r="A4" s="8" t="s">
        <v>215</v>
      </c>
      <c r="B4" s="8"/>
      <c r="C4" s="237">
        <f>'Cost of capital worksheet'!B24</f>
        <v>2</v>
      </c>
      <c r="D4" s="8"/>
      <c r="E4" s="8"/>
      <c r="F4" s="8"/>
      <c r="G4" s="8"/>
      <c r="H4" s="8"/>
      <c r="I4" s="8"/>
      <c r="J4" s="8"/>
    </row>
    <row r="5" spans="1:10" s="131" customFormat="1" ht="15" thickBot="1">
      <c r="A5" s="8" t="s">
        <v>216</v>
      </c>
      <c r="B5" s="8"/>
      <c r="C5" s="8"/>
      <c r="D5" s="8"/>
      <c r="E5" s="114"/>
      <c r="F5" s="121">
        <f>IF('Input sheet'!B14="Yes",'Input sheet'!B9+'Operating lease converter'!F32,'Input sheet'!B9)</f>
        <v>7989</v>
      </c>
      <c r="G5" s="8" t="s">
        <v>217</v>
      </c>
      <c r="H5" s="8"/>
      <c r="I5" s="8"/>
      <c r="J5" s="8"/>
    </row>
    <row r="6" spans="1:10" s="131" customFormat="1" ht="15" thickBot="1">
      <c r="A6" s="8" t="s">
        <v>218</v>
      </c>
      <c r="B6" s="8"/>
      <c r="C6" s="8"/>
      <c r="D6" s="8"/>
      <c r="E6" s="8"/>
      <c r="F6" s="206">
        <f>IF('Input sheet'!B14="Yes",'Cost of capital worksheet'!B19+'Operating lease converter'!C28*'Operating lease converter'!C15,'Cost of capital worksheet'!B19)</f>
        <v>327</v>
      </c>
      <c r="G6" s="8" t="s">
        <v>219</v>
      </c>
      <c r="H6" s="8"/>
      <c r="I6" s="8"/>
      <c r="J6" s="8"/>
    </row>
    <row r="7" spans="1:10" s="131" customFormat="1" ht="15" thickBot="1">
      <c r="A7" s="8" t="s">
        <v>234</v>
      </c>
      <c r="B7" s="8"/>
      <c r="C7" s="8"/>
      <c r="D7" s="8"/>
      <c r="E7" s="8"/>
      <c r="F7" s="139">
        <f>'Input sheet'!B30</f>
        <v>1.6E-2</v>
      </c>
      <c r="G7" s="8"/>
      <c r="H7" s="8"/>
      <c r="I7" s="8"/>
      <c r="J7" s="8"/>
    </row>
    <row r="8" spans="1:10" s="131" customFormat="1" ht="15" thickBot="1">
      <c r="A8" s="17" t="s">
        <v>122</v>
      </c>
      <c r="B8" s="8"/>
      <c r="C8" s="8"/>
      <c r="D8" s="8"/>
      <c r="E8" s="8"/>
      <c r="F8" s="114"/>
      <c r="G8" s="8"/>
      <c r="H8" s="8"/>
      <c r="I8" s="8"/>
      <c r="J8" s="8"/>
    </row>
    <row r="9" spans="1:10" s="131" customFormat="1" ht="15" thickBot="1">
      <c r="A9" s="8" t="s">
        <v>220</v>
      </c>
      <c r="B9" s="8"/>
      <c r="C9" s="8"/>
      <c r="D9" s="140">
        <f>IF(F6=0,1000000,IF(F5&lt;0,-100000,F5/F6))</f>
        <v>24.431192660550458</v>
      </c>
      <c r="E9" s="8"/>
      <c r="F9" s="114"/>
      <c r="G9" s="8"/>
      <c r="H9" s="8"/>
      <c r="I9" s="8"/>
      <c r="J9" s="8"/>
    </row>
    <row r="10" spans="1:10" s="131" customFormat="1" ht="15" thickBot="1">
      <c r="A10" s="8" t="s">
        <v>221</v>
      </c>
      <c r="D10" s="141" t="str">
        <f>IF(C4=1,VLOOKUP(D9,A19:D33,3),(IF(C4=2,VLOOKUP(D9,A38:D52,3),VLOOKUP(D9,F19:I33,3))))</f>
        <v>Aaa/AAA</v>
      </c>
      <c r="F10" s="16" t="s">
        <v>222</v>
      </c>
    </row>
    <row r="11" spans="1:10" s="131" customFormat="1" ht="15" thickBot="1">
      <c r="A11" s="8" t="s">
        <v>472</v>
      </c>
      <c r="D11" s="142">
        <f>IF(C4=1,VLOOKUP(D9,A19:D33,4),(IF(C4=2,VLOOKUP(D9,A38:D52,4),VLOOKUP(D9,F19:I33,4))))</f>
        <v>6.3E-3</v>
      </c>
      <c r="F11" s="16" t="s">
        <v>223</v>
      </c>
    </row>
    <row r="12" spans="1:10" s="131" customFormat="1" ht="15" thickBot="1">
      <c r="A12" s="8" t="s">
        <v>473</v>
      </c>
      <c r="D12" s="142">
        <f>VLOOKUP('Input sheet'!B5,'Country equity risk premiums'!A5:C190,3)</f>
        <v>0</v>
      </c>
      <c r="F12" s="16"/>
    </row>
    <row r="13" spans="1:10" s="8" customFormat="1" ht="15" thickBot="1">
      <c r="A13" s="8" t="s">
        <v>224</v>
      </c>
      <c r="D13" s="143">
        <f>F7+D11+D12</f>
        <v>2.23E-2</v>
      </c>
    </row>
    <row r="14" spans="1:10" s="8" customFormat="1" ht="14">
      <c r="D14" s="133"/>
    </row>
    <row r="15" spans="1:10" s="15" customFormat="1" ht="14">
      <c r="A15" s="15" t="s">
        <v>225</v>
      </c>
      <c r="D15" s="134"/>
    </row>
    <row r="16" spans="1:10" s="131" customFormat="1" ht="14">
      <c r="A16" s="17" t="s">
        <v>226</v>
      </c>
      <c r="F16"/>
      <c r="G16"/>
      <c r="H16"/>
      <c r="I16"/>
    </row>
    <row r="17" spans="1:10" s="131" customFormat="1" ht="14">
      <c r="A17" s="135" t="s">
        <v>227</v>
      </c>
      <c r="B17" s="135"/>
      <c r="C17" s="136"/>
      <c r="D17" s="136"/>
      <c r="F17"/>
      <c r="G17"/>
      <c r="H17"/>
      <c r="I17"/>
      <c r="J17" s="8"/>
    </row>
    <row r="18" spans="1:10" s="131" customFormat="1" ht="14">
      <c r="A18" s="119" t="s">
        <v>228</v>
      </c>
      <c r="B18" s="119" t="s">
        <v>229</v>
      </c>
      <c r="C18" s="119" t="s">
        <v>230</v>
      </c>
      <c r="D18" s="119" t="s">
        <v>231</v>
      </c>
      <c r="F18"/>
      <c r="G18"/>
      <c r="H18"/>
      <c r="I18"/>
    </row>
    <row r="19" spans="1:10" s="131" customFormat="1" ht="14">
      <c r="A19" s="30">
        <v>-100000</v>
      </c>
      <c r="B19" s="30">
        <v>0.19999900000000001</v>
      </c>
      <c r="C19" s="235" t="s">
        <v>456</v>
      </c>
      <c r="D19" s="355">
        <v>0.15116399999999999</v>
      </c>
      <c r="F19"/>
      <c r="G19"/>
      <c r="H19"/>
      <c r="I19"/>
    </row>
    <row r="20" spans="1:10" s="131" customFormat="1" ht="14">
      <c r="A20" s="30">
        <v>0.2</v>
      </c>
      <c r="B20" s="30">
        <v>0.64999899999999999</v>
      </c>
      <c r="C20" s="235" t="s">
        <v>457</v>
      </c>
      <c r="D20" s="355">
        <v>0.113412</v>
      </c>
      <c r="F20"/>
      <c r="G20"/>
      <c r="H20"/>
      <c r="I20"/>
    </row>
    <row r="21" spans="1:10" s="131" customFormat="1" ht="14">
      <c r="A21" s="30">
        <v>0.65</v>
      </c>
      <c r="B21" s="30">
        <v>0.79999900000000002</v>
      </c>
      <c r="C21" s="235" t="s">
        <v>458</v>
      </c>
      <c r="D21" s="355">
        <v>8.6424000000000001E-2</v>
      </c>
      <c r="F21"/>
      <c r="G21"/>
      <c r="H21"/>
      <c r="I21"/>
    </row>
    <row r="22" spans="1:10" s="131" customFormat="1" ht="14">
      <c r="A22" s="30">
        <v>0.8</v>
      </c>
      <c r="B22" s="30">
        <v>1.2499990000000001</v>
      </c>
      <c r="C22" s="235" t="s">
        <v>459</v>
      </c>
      <c r="D22" s="355">
        <v>8.2000000000000003E-2</v>
      </c>
      <c r="F22"/>
      <c r="G22"/>
      <c r="H22"/>
      <c r="I22"/>
    </row>
    <row r="23" spans="1:10" s="131" customFormat="1" ht="14">
      <c r="A23" s="30">
        <v>1.25</v>
      </c>
      <c r="B23" s="30">
        <v>1.4999990000000001</v>
      </c>
      <c r="C23" s="235" t="s">
        <v>460</v>
      </c>
      <c r="D23" s="355">
        <v>5.1480000000000005E-2</v>
      </c>
      <c r="F23"/>
      <c r="G23"/>
      <c r="H23"/>
      <c r="I23"/>
    </row>
    <row r="24" spans="1:10" s="131" customFormat="1" ht="14">
      <c r="A24" s="30">
        <v>1.5</v>
      </c>
      <c r="B24" s="30">
        <v>1.7499990000000001</v>
      </c>
      <c r="C24" s="235" t="s">
        <v>461</v>
      </c>
      <c r="D24" s="355">
        <v>4.2119999999999998E-2</v>
      </c>
      <c r="F24"/>
      <c r="G24"/>
      <c r="H24"/>
      <c r="I24"/>
    </row>
    <row r="25" spans="1:10" s="131" customFormat="1" ht="14">
      <c r="A25" s="30">
        <v>1.75</v>
      </c>
      <c r="B25" s="30">
        <v>1.9999990000000001</v>
      </c>
      <c r="C25" s="235" t="s">
        <v>462</v>
      </c>
      <c r="D25" s="355">
        <v>3.5099999999999999E-2</v>
      </c>
      <c r="F25"/>
      <c r="G25"/>
      <c r="H25"/>
      <c r="I25"/>
    </row>
    <row r="26" spans="1:10" s="131" customFormat="1" ht="14">
      <c r="A26" s="30">
        <v>2</v>
      </c>
      <c r="B26" s="30">
        <v>2.2499999000000002</v>
      </c>
      <c r="C26" s="235" t="s">
        <v>463</v>
      </c>
      <c r="D26" s="355">
        <v>2.4E-2</v>
      </c>
      <c r="F26"/>
      <c r="G26"/>
      <c r="H26"/>
      <c r="I26"/>
    </row>
    <row r="27" spans="1:10" s="131" customFormat="1" ht="14">
      <c r="A27" s="30">
        <v>2.25</v>
      </c>
      <c r="B27" s="30">
        <v>2.4999899999999999</v>
      </c>
      <c r="C27" s="235" t="s">
        <v>464</v>
      </c>
      <c r="D27" s="355">
        <v>0.02</v>
      </c>
      <c r="F27"/>
      <c r="G27"/>
      <c r="H27"/>
      <c r="I27"/>
    </row>
    <row r="28" spans="1:10" s="131" customFormat="1" ht="14">
      <c r="A28" s="30">
        <v>2.5</v>
      </c>
      <c r="B28" s="30">
        <v>2.9999989999999999</v>
      </c>
      <c r="C28" s="235" t="s">
        <v>465</v>
      </c>
      <c r="D28" s="355">
        <v>1.5600000000000001E-2</v>
      </c>
      <c r="F28"/>
      <c r="G28"/>
      <c r="H28"/>
      <c r="I28"/>
    </row>
    <row r="29" spans="1:10" s="131" customFormat="1" ht="14">
      <c r="A29" s="30">
        <v>3</v>
      </c>
      <c r="B29" s="30">
        <v>4.2499989999999999</v>
      </c>
      <c r="C29" s="235" t="s">
        <v>466</v>
      </c>
      <c r="D29" s="355">
        <v>1.2168E-2</v>
      </c>
      <c r="F29"/>
      <c r="G29"/>
      <c r="H29"/>
      <c r="I29"/>
    </row>
    <row r="30" spans="1:10" s="131" customFormat="1" ht="14">
      <c r="A30" s="30">
        <v>4.25</v>
      </c>
      <c r="B30" s="30">
        <v>5.4999989999999999</v>
      </c>
      <c r="C30" s="235" t="s">
        <v>467</v>
      </c>
      <c r="D30" s="355">
        <v>1.0764000000000001E-2</v>
      </c>
      <c r="F30"/>
      <c r="G30"/>
      <c r="H30"/>
      <c r="I30"/>
    </row>
    <row r="31" spans="1:10" s="131" customFormat="1" ht="14">
      <c r="A31" s="30">
        <v>5.5</v>
      </c>
      <c r="B31" s="30">
        <v>6.4999989999999999</v>
      </c>
      <c r="C31" s="235" t="s">
        <v>468</v>
      </c>
      <c r="D31" s="355">
        <v>9.7500000000000017E-3</v>
      </c>
      <c r="F31"/>
      <c r="G31"/>
      <c r="H31"/>
      <c r="I31"/>
    </row>
    <row r="32" spans="1:10" s="131" customFormat="1" ht="14">
      <c r="A32" s="30">
        <v>6.5</v>
      </c>
      <c r="B32" s="30">
        <v>8.4999990000000007</v>
      </c>
      <c r="C32" s="235" t="s">
        <v>469</v>
      </c>
      <c r="D32" s="355">
        <v>7.8000000000000005E-3</v>
      </c>
      <c r="F32"/>
      <c r="G32"/>
      <c r="H32"/>
      <c r="I32"/>
    </row>
    <row r="33" spans="1:9" s="131" customFormat="1" ht="14">
      <c r="A33" s="137">
        <v>8.5</v>
      </c>
      <c r="B33" s="30">
        <v>100000</v>
      </c>
      <c r="C33" s="235" t="s">
        <v>470</v>
      </c>
      <c r="D33" s="355">
        <v>6.3E-3</v>
      </c>
      <c r="F33"/>
      <c r="G33"/>
      <c r="H33"/>
      <c r="I33"/>
    </row>
    <row r="34" spans="1:9" s="131" customFormat="1" ht="14"/>
    <row r="35" spans="1:9" s="131" customFormat="1" ht="14">
      <c r="A35" s="17" t="s">
        <v>233</v>
      </c>
    </row>
    <row r="36" spans="1:9" s="131" customFormat="1" ht="14">
      <c r="A36" s="135" t="s">
        <v>227</v>
      </c>
      <c r="B36" s="138"/>
      <c r="C36" s="30"/>
      <c r="D36" s="30"/>
    </row>
    <row r="37" spans="1:9" s="131" customFormat="1" ht="14">
      <c r="A37" s="30" t="s">
        <v>232</v>
      </c>
      <c r="B37" s="30" t="s">
        <v>229</v>
      </c>
      <c r="C37" s="30" t="s">
        <v>230</v>
      </c>
      <c r="D37" s="30" t="s">
        <v>231</v>
      </c>
    </row>
    <row r="38" spans="1:9" s="131" customFormat="1" ht="14">
      <c r="A38" s="30">
        <v>-100000</v>
      </c>
      <c r="B38" s="30">
        <v>0.49999900000000003</v>
      </c>
      <c r="C38" s="235" t="s">
        <v>456</v>
      </c>
      <c r="D38" s="323">
        <f>D19</f>
        <v>0.15116399999999999</v>
      </c>
      <c r="G38" s="30" t="s">
        <v>230</v>
      </c>
      <c r="H38" s="30" t="s">
        <v>231</v>
      </c>
    </row>
    <row r="39" spans="1:9" s="131" customFormat="1" ht="14">
      <c r="A39" s="30">
        <v>0.5</v>
      </c>
      <c r="B39" s="30">
        <v>0.79999900000000002</v>
      </c>
      <c r="C39" s="235" t="s">
        <v>457</v>
      </c>
      <c r="D39" s="323">
        <f t="shared" ref="D39:D52" si="0">D20</f>
        <v>0.113412</v>
      </c>
      <c r="G39" s="235" t="s">
        <v>468</v>
      </c>
      <c r="H39" s="254">
        <v>9.7500000000000017E-3</v>
      </c>
    </row>
    <row r="40" spans="1:9" s="131" customFormat="1" ht="14">
      <c r="A40" s="30">
        <v>0.8</v>
      </c>
      <c r="B40" s="30">
        <v>1.2499990000000001</v>
      </c>
      <c r="C40" s="235" t="s">
        <v>458</v>
      </c>
      <c r="D40" s="323">
        <f t="shared" si="0"/>
        <v>8.6424000000000001E-2</v>
      </c>
      <c r="G40" s="235" t="s">
        <v>467</v>
      </c>
      <c r="H40" s="254">
        <v>1.0764000000000001E-2</v>
      </c>
    </row>
    <row r="41" spans="1:9" s="131" customFormat="1" ht="14">
      <c r="A41" s="30">
        <v>1.25</v>
      </c>
      <c r="B41" s="30">
        <v>1.4999990000000001</v>
      </c>
      <c r="C41" s="235" t="s">
        <v>459</v>
      </c>
      <c r="D41" s="323">
        <f t="shared" si="0"/>
        <v>8.2000000000000003E-2</v>
      </c>
      <c r="G41" s="235" t="s">
        <v>466</v>
      </c>
      <c r="H41" s="254">
        <v>1.2168E-2</v>
      </c>
    </row>
    <row r="42" spans="1:9" s="131" customFormat="1" ht="14">
      <c r="A42" s="30">
        <v>1.5</v>
      </c>
      <c r="B42" s="30">
        <v>1.9999990000000001</v>
      </c>
      <c r="C42" s="235" t="s">
        <v>460</v>
      </c>
      <c r="D42" s="323">
        <f t="shared" si="0"/>
        <v>5.1480000000000005E-2</v>
      </c>
      <c r="G42" s="235" t="s">
        <v>469</v>
      </c>
      <c r="H42" s="254">
        <v>7.8000000000000005E-3</v>
      </c>
    </row>
    <row r="43" spans="1:9" s="131" customFormat="1" ht="14">
      <c r="A43" s="30">
        <v>2</v>
      </c>
      <c r="B43" s="30">
        <v>2.4999989999999999</v>
      </c>
      <c r="C43" s="235" t="s">
        <v>461</v>
      </c>
      <c r="D43" s="323">
        <f t="shared" si="0"/>
        <v>4.2119999999999998E-2</v>
      </c>
      <c r="G43" s="235" t="s">
        <v>470</v>
      </c>
      <c r="H43" s="254">
        <v>6.3E-3</v>
      </c>
    </row>
    <row r="44" spans="1:9" s="131" customFormat="1" ht="14">
      <c r="A44" s="30">
        <v>2.5</v>
      </c>
      <c r="B44" s="30">
        <v>2.9999989999999999</v>
      </c>
      <c r="C44" s="235" t="s">
        <v>462</v>
      </c>
      <c r="D44" s="323">
        <f t="shared" si="0"/>
        <v>3.5099999999999999E-2</v>
      </c>
      <c r="G44" s="235" t="s">
        <v>462</v>
      </c>
      <c r="H44" s="254">
        <v>3.5099999999999999E-2</v>
      </c>
    </row>
    <row r="45" spans="1:9" s="131" customFormat="1" ht="14">
      <c r="A45" s="30">
        <v>3</v>
      </c>
      <c r="B45" s="30">
        <v>3.4999989999999999</v>
      </c>
      <c r="C45" s="235" t="s">
        <v>463</v>
      </c>
      <c r="D45" s="323">
        <f t="shared" si="0"/>
        <v>2.4E-2</v>
      </c>
      <c r="G45" s="235" t="s">
        <v>461</v>
      </c>
      <c r="H45" s="254">
        <v>4.2119999999999998E-2</v>
      </c>
    </row>
    <row r="46" spans="1:9" s="131" customFormat="1" ht="14">
      <c r="A46" s="30">
        <v>3.5</v>
      </c>
      <c r="B46" s="30">
        <v>3.9999999000000002</v>
      </c>
      <c r="C46" s="235" t="s">
        <v>464</v>
      </c>
      <c r="D46" s="323">
        <f t="shared" si="0"/>
        <v>0.02</v>
      </c>
      <c r="G46" s="235" t="s">
        <v>460</v>
      </c>
      <c r="H46" s="254">
        <v>5.1480000000000005E-2</v>
      </c>
    </row>
    <row r="47" spans="1:9" s="131" customFormat="1" ht="14">
      <c r="A47" s="30">
        <v>4</v>
      </c>
      <c r="B47" s="30">
        <v>4.4999989999999999</v>
      </c>
      <c r="C47" s="235" t="s">
        <v>465</v>
      </c>
      <c r="D47" s="323">
        <f t="shared" si="0"/>
        <v>1.5600000000000001E-2</v>
      </c>
      <c r="G47" s="235" t="s">
        <v>464</v>
      </c>
      <c r="H47" s="254">
        <v>0.02</v>
      </c>
    </row>
    <row r="48" spans="1:9" s="131" customFormat="1" ht="14">
      <c r="A48" s="30">
        <v>4.5</v>
      </c>
      <c r="B48" s="30">
        <v>5.9999989999999999</v>
      </c>
      <c r="C48" s="235" t="s">
        <v>466</v>
      </c>
      <c r="D48" s="323">
        <f t="shared" si="0"/>
        <v>1.2168E-2</v>
      </c>
      <c r="G48" s="235" t="s">
        <v>463</v>
      </c>
      <c r="H48" s="254">
        <v>2.4E-2</v>
      </c>
    </row>
    <row r="49" spans="1:10" s="131" customFormat="1" ht="14">
      <c r="A49" s="30">
        <v>6</v>
      </c>
      <c r="B49" s="30">
        <v>7.4999989999999999</v>
      </c>
      <c r="C49" s="235" t="s">
        <v>467</v>
      </c>
      <c r="D49" s="323">
        <f t="shared" si="0"/>
        <v>1.0764000000000001E-2</v>
      </c>
      <c r="G49" s="235" t="s">
        <v>465</v>
      </c>
      <c r="H49" s="254">
        <v>1.5600000000000001E-2</v>
      </c>
    </row>
    <row r="50" spans="1:10" s="131" customFormat="1" ht="14">
      <c r="A50" s="30">
        <v>7.5</v>
      </c>
      <c r="B50" s="30">
        <v>9.4999990000000007</v>
      </c>
      <c r="C50" s="235" t="s">
        <v>468</v>
      </c>
      <c r="D50" s="323">
        <f t="shared" si="0"/>
        <v>9.7500000000000017E-3</v>
      </c>
      <c r="G50" s="235" t="s">
        <v>459</v>
      </c>
      <c r="H50" s="254">
        <v>0.113412</v>
      </c>
    </row>
    <row r="51" spans="1:10" ht="14">
      <c r="A51" s="30">
        <v>9.5</v>
      </c>
      <c r="B51" s="30">
        <v>12.499999000000001</v>
      </c>
      <c r="C51" s="235" t="s">
        <v>469</v>
      </c>
      <c r="D51" s="323">
        <f t="shared" si="0"/>
        <v>7.8000000000000005E-3</v>
      </c>
      <c r="F51" s="131"/>
      <c r="G51" s="235" t="s">
        <v>458</v>
      </c>
      <c r="H51" s="254">
        <v>8.6424000000000001E-2</v>
      </c>
      <c r="I51" s="131"/>
      <c r="J51" s="131"/>
    </row>
    <row r="52" spans="1:10" ht="14">
      <c r="A52" s="30">
        <v>12.5</v>
      </c>
      <c r="B52" s="30">
        <v>100000</v>
      </c>
      <c r="C52" s="235" t="s">
        <v>470</v>
      </c>
      <c r="D52" s="323">
        <f t="shared" si="0"/>
        <v>6.3E-3</v>
      </c>
      <c r="G52" s="235" t="s">
        <v>457</v>
      </c>
      <c r="H52" s="254">
        <v>8.2000000000000003E-2</v>
      </c>
    </row>
    <row r="53" spans="1:10" ht="14">
      <c r="G53" s="235" t="s">
        <v>456</v>
      </c>
      <c r="H53" s="254">
        <v>0.15116399999999999</v>
      </c>
    </row>
  </sheetData>
  <sortState xmlns:xlrd2="http://schemas.microsoft.com/office/spreadsheetml/2017/richdata2" ref="G39:H53">
    <sortCondition ref="G39:G53"/>
  </sortState>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97"/>
  <sheetViews>
    <sheetView workbookViewId="0">
      <pane xSplit="1" ySplit="1" topLeftCell="B2" activePane="bottomRight" state="frozen"/>
      <selection pane="topRight" activeCell="B1" sqref="B1"/>
      <selection pane="bottomLeft" activeCell="A2" sqref="A2"/>
      <selection pane="bottomRight" activeCell="E26" sqref="E26"/>
    </sheetView>
  </sheetViews>
  <sheetFormatPr baseColWidth="10" defaultColWidth="11.5" defaultRowHeight="13"/>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7" s="341" customFormat="1" ht="84">
      <c r="A1" s="356" t="s">
        <v>96</v>
      </c>
      <c r="B1" s="242" t="s">
        <v>173</v>
      </c>
      <c r="C1" s="357" t="s">
        <v>161</v>
      </c>
      <c r="D1" s="357" t="s">
        <v>736</v>
      </c>
      <c r="E1" s="357" t="s">
        <v>180</v>
      </c>
      <c r="F1" s="242" t="s">
        <v>162</v>
      </c>
      <c r="G1" s="242" t="s">
        <v>210</v>
      </c>
      <c r="H1" s="242" t="s">
        <v>163</v>
      </c>
      <c r="I1" s="242" t="s">
        <v>164</v>
      </c>
      <c r="J1" s="242" t="s">
        <v>165</v>
      </c>
      <c r="K1" s="242" t="s">
        <v>166</v>
      </c>
      <c r="L1" s="242" t="s">
        <v>167</v>
      </c>
      <c r="M1" s="242" t="s">
        <v>146</v>
      </c>
      <c r="N1" s="358" t="s">
        <v>99</v>
      </c>
      <c r="O1" s="242" t="s">
        <v>168</v>
      </c>
      <c r="P1" s="242" t="s">
        <v>169</v>
      </c>
      <c r="Q1" s="242" t="s">
        <v>170</v>
      </c>
      <c r="R1" s="242" t="s">
        <v>171</v>
      </c>
      <c r="S1" s="242" t="s">
        <v>172</v>
      </c>
      <c r="T1" s="242" t="s">
        <v>496</v>
      </c>
      <c r="U1" s="242" t="s">
        <v>497</v>
      </c>
      <c r="V1" s="242" t="s">
        <v>498</v>
      </c>
      <c r="W1" s="242" t="s">
        <v>499</v>
      </c>
      <c r="X1" s="356" t="s">
        <v>483</v>
      </c>
      <c r="Y1" s="356" t="s">
        <v>500</v>
      </c>
      <c r="Z1" s="356" t="s">
        <v>501</v>
      </c>
      <c r="AA1" s="242" t="s">
        <v>762</v>
      </c>
    </row>
    <row r="2" spans="1:27" ht="14">
      <c r="A2" s="359" t="s">
        <v>97</v>
      </c>
      <c r="B2" s="144">
        <v>61</v>
      </c>
      <c r="C2" s="360">
        <v>8.3145999999999984E-2</v>
      </c>
      <c r="D2" s="360">
        <v>9.9789829114715373E-2</v>
      </c>
      <c r="E2" s="360">
        <v>0.51511899517002169</v>
      </c>
      <c r="F2" s="360">
        <v>0.21473754602683312</v>
      </c>
      <c r="G2" s="361">
        <v>0.77440940100409716</v>
      </c>
      <c r="H2" s="361">
        <v>1.0763167747709843</v>
      </c>
      <c r="I2" s="360">
        <v>6.0102151769190454E-2</v>
      </c>
      <c r="J2" s="360">
        <v>0.57736350263470748</v>
      </c>
      <c r="K2" s="360">
        <v>2.9980000000000003E-2</v>
      </c>
      <c r="L2" s="360">
        <v>0.43662351234955638</v>
      </c>
      <c r="M2" s="360">
        <v>4.3415819381135402E-2</v>
      </c>
      <c r="N2" s="361">
        <v>5.1689336631467704</v>
      </c>
      <c r="O2" s="361">
        <v>1.8279748463952663</v>
      </c>
      <c r="P2" s="361">
        <v>8.8603141590353722</v>
      </c>
      <c r="Q2" s="361">
        <v>16.081323674363535</v>
      </c>
      <c r="R2" s="361">
        <v>5.7295817594235814</v>
      </c>
      <c r="S2" s="361">
        <v>45.375202628511474</v>
      </c>
      <c r="T2" s="360">
        <v>-5.7458589075799257E-3</v>
      </c>
      <c r="U2" s="360">
        <v>1.7499969307145761E-2</v>
      </c>
      <c r="V2" s="360">
        <v>-1.911835966362643E-2</v>
      </c>
      <c r="W2" s="360">
        <v>-0.31670613154939664</v>
      </c>
      <c r="X2" s="360">
        <v>2.933270644878155E-2</v>
      </c>
      <c r="Y2" s="360">
        <v>9.1284744623045526</v>
      </c>
      <c r="Z2" s="360">
        <v>9.1284744623045526</v>
      </c>
      <c r="AA2" s="362">
        <v>0.10312282984536096</v>
      </c>
    </row>
    <row r="3" spans="1:27" ht="14">
      <c r="A3" s="359" t="s">
        <v>508</v>
      </c>
      <c r="B3" s="144">
        <v>72</v>
      </c>
      <c r="C3" s="360">
        <v>5.2835581395348837E-2</v>
      </c>
      <c r="D3" s="360">
        <v>7.5558241055426426E-2</v>
      </c>
      <c r="E3" s="360">
        <v>0.19114875013013879</v>
      </c>
      <c r="F3" s="360">
        <v>0.2462174246147118</v>
      </c>
      <c r="G3" s="361">
        <v>0.91241124694588971</v>
      </c>
      <c r="H3" s="361">
        <v>1.0654116800938749</v>
      </c>
      <c r="I3" s="360">
        <v>5.9587431300430899E-2</v>
      </c>
      <c r="J3" s="360">
        <v>0.34892933167879187</v>
      </c>
      <c r="K3" s="360">
        <v>2.58E-2</v>
      </c>
      <c r="L3" s="360">
        <v>0.24839853323369193</v>
      </c>
      <c r="M3" s="360">
        <v>4.9464338741163828E-2</v>
      </c>
      <c r="N3" s="361">
        <v>2.6059878759822079</v>
      </c>
      <c r="O3" s="361">
        <v>2.0117675852403769</v>
      </c>
      <c r="P3" s="361">
        <v>12.152653123863544</v>
      </c>
      <c r="Q3" s="361">
        <v>20.31000758159399</v>
      </c>
      <c r="R3" s="361">
        <v>4.4369249163522966</v>
      </c>
      <c r="S3" s="361">
        <v>107.38396177092393</v>
      </c>
      <c r="T3" s="360">
        <v>0.43564008525480985</v>
      </c>
      <c r="U3" s="360">
        <v>2.7682925662515925E-2</v>
      </c>
      <c r="V3" s="360">
        <v>-1.3339522457738126E-2</v>
      </c>
      <c r="W3" s="360">
        <v>0.36932242726066256</v>
      </c>
      <c r="X3" s="360">
        <v>8.5431888037559259E-2</v>
      </c>
      <c r="Y3" s="360">
        <v>1.2055159190772029</v>
      </c>
      <c r="Z3" s="360">
        <v>1.2055159190772029</v>
      </c>
      <c r="AA3" s="362">
        <v>7.8922121292331296E-2</v>
      </c>
    </row>
    <row r="4" spans="1:27" ht="14">
      <c r="A4" s="359" t="s">
        <v>509</v>
      </c>
      <c r="B4" s="144">
        <v>17</v>
      </c>
      <c r="C4" s="360">
        <v>-6.8229166666666674E-2</v>
      </c>
      <c r="D4" s="360">
        <v>-0.18990613897691269</v>
      </c>
      <c r="E4" s="360">
        <v>-0.16065422687831812</v>
      </c>
      <c r="F4" s="360">
        <v>0.88757788161993767</v>
      </c>
      <c r="G4" s="361">
        <v>0.91962216692893717</v>
      </c>
      <c r="H4" s="361">
        <v>1.6081637004838845</v>
      </c>
      <c r="I4" s="360">
        <v>8.5205326662839351E-2</v>
      </c>
      <c r="J4" s="360">
        <v>0.46150789583439999</v>
      </c>
      <c r="K4" s="360">
        <v>2.9980000000000003E-2</v>
      </c>
      <c r="L4" s="360">
        <v>0.6173848737990707</v>
      </c>
      <c r="M4" s="360">
        <v>4.611256173113587E-2</v>
      </c>
      <c r="N4" s="361">
        <v>0.8832377145018504</v>
      </c>
      <c r="O4" s="361">
        <v>1.9728015748703169</v>
      </c>
      <c r="P4" s="361">
        <v>34.425447646964919</v>
      </c>
      <c r="Q4" s="361" t="s">
        <v>98</v>
      </c>
      <c r="R4" s="361">
        <v>3.2241497108473678</v>
      </c>
      <c r="S4" s="361">
        <v>13.467519539284243</v>
      </c>
      <c r="T4" s="360">
        <v>1.7044401390725925E-2</v>
      </c>
      <c r="U4" s="360">
        <v>0.11832919205455525</v>
      </c>
      <c r="V4" s="360">
        <v>1.7990003600578661E-2</v>
      </c>
      <c r="W4" s="360" t="s">
        <v>98</v>
      </c>
      <c r="X4" s="360">
        <v>-0.4702685391404543</v>
      </c>
      <c r="Y4" s="360">
        <v>8.6425339366515846E-4</v>
      </c>
      <c r="Z4" s="360">
        <v>8.6425339366513754E-4</v>
      </c>
      <c r="AA4" s="362">
        <v>-0.19351804720218629</v>
      </c>
    </row>
    <row r="5" spans="1:27" ht="14">
      <c r="A5" s="359" t="s">
        <v>510</v>
      </c>
      <c r="B5" s="144">
        <v>51</v>
      </c>
      <c r="C5" s="360">
        <v>-3.5553103448275863E-2</v>
      </c>
      <c r="D5" s="360">
        <v>5.4872250559461794E-2</v>
      </c>
      <c r="E5" s="360">
        <v>7.5422560682575066E-2</v>
      </c>
      <c r="F5" s="360">
        <v>0.31409907935116183</v>
      </c>
      <c r="G5" s="361">
        <v>0.94136329045620115</v>
      </c>
      <c r="H5" s="361">
        <v>1.0982186127658942</v>
      </c>
      <c r="I5" s="360">
        <v>6.1135918522550209E-2</v>
      </c>
      <c r="J5" s="360">
        <v>0.4784359487657423</v>
      </c>
      <c r="K5" s="360">
        <v>2.9980000000000003E-2</v>
      </c>
      <c r="L5" s="360">
        <v>0.2825836395818197</v>
      </c>
      <c r="M5" s="360">
        <v>5.0044364142974342E-2</v>
      </c>
      <c r="N5" s="361">
        <v>1.3391307059586217</v>
      </c>
      <c r="O5" s="361">
        <v>2.0258437620692398</v>
      </c>
      <c r="P5" s="361">
        <v>14.688666444402248</v>
      </c>
      <c r="Q5" s="361">
        <v>33.976254544925858</v>
      </c>
      <c r="R5" s="361">
        <v>4.1116941014117891</v>
      </c>
      <c r="S5" s="361">
        <v>22.761750232250616</v>
      </c>
      <c r="T5" s="360">
        <v>0.24962264547366317</v>
      </c>
      <c r="U5" s="360">
        <v>2.5172142610807156E-2</v>
      </c>
      <c r="V5" s="360">
        <v>1.5531388063582379E-3</v>
      </c>
      <c r="W5" s="360">
        <v>-1.4672262647921706</v>
      </c>
      <c r="X5" s="360">
        <v>-8.1880966319079887E-2</v>
      </c>
      <c r="Y5" s="360">
        <v>3.2452691540632338E-3</v>
      </c>
      <c r="Z5" s="360">
        <v>3.2452691540632017E-3</v>
      </c>
      <c r="AA5" s="362">
        <v>5.913857501245369E-2</v>
      </c>
    </row>
    <row r="6" spans="1:27" ht="14">
      <c r="A6" s="359" t="s">
        <v>511</v>
      </c>
      <c r="B6" s="144">
        <v>19</v>
      </c>
      <c r="C6" s="360">
        <v>0.12191666666666669</v>
      </c>
      <c r="D6" s="360">
        <v>1.9333508605592183E-2</v>
      </c>
      <c r="E6" s="360">
        <v>1.1709090822045768E-2</v>
      </c>
      <c r="F6" s="360">
        <v>0.28480567682019586</v>
      </c>
      <c r="G6" s="361">
        <v>1.0499991719428035</v>
      </c>
      <c r="H6" s="361">
        <v>1.2828255283085925</v>
      </c>
      <c r="I6" s="360">
        <v>6.9849364936165559E-2</v>
      </c>
      <c r="J6" s="360">
        <v>0.4523696418680257</v>
      </c>
      <c r="K6" s="360">
        <v>2.9980000000000003E-2</v>
      </c>
      <c r="L6" s="360">
        <v>0.27884069904614261</v>
      </c>
      <c r="M6" s="360">
        <v>5.6475059424340487E-2</v>
      </c>
      <c r="N6" s="361">
        <v>0.74270416628693647</v>
      </c>
      <c r="O6" s="361">
        <v>3.5828402796043126</v>
      </c>
      <c r="P6" s="361">
        <v>45.729895275109342</v>
      </c>
      <c r="Q6" s="361">
        <v>177.76001060289539</v>
      </c>
      <c r="R6" s="361">
        <v>7.5787617041221038</v>
      </c>
      <c r="S6" s="361">
        <v>261.55986156714147</v>
      </c>
      <c r="T6" s="360">
        <v>-6.9391402102976452E-2</v>
      </c>
      <c r="U6" s="360">
        <v>0.10244391023130034</v>
      </c>
      <c r="V6" s="360">
        <v>4.6115116875564834E-2</v>
      </c>
      <c r="W6" s="360">
        <v>1.8440271694624273</v>
      </c>
      <c r="X6" s="360">
        <v>4.4885246411493003E-2</v>
      </c>
      <c r="Y6" s="360">
        <v>0.64579934346313383</v>
      </c>
      <c r="Z6" s="360">
        <v>0.64579934346313383</v>
      </c>
      <c r="AA6" s="362">
        <v>1.7332793035688888E-2</v>
      </c>
    </row>
    <row r="7" spans="1:27" ht="14">
      <c r="A7" s="359" t="s">
        <v>512</v>
      </c>
      <c r="B7" s="144">
        <v>52</v>
      </c>
      <c r="C7" s="360">
        <v>4.0210357142857145E-2</v>
      </c>
      <c r="D7" s="360">
        <v>4.0098862762102311E-2</v>
      </c>
      <c r="E7" s="360">
        <v>6.4586539004928167E-2</v>
      </c>
      <c r="F7" s="360">
        <v>0.32645234056176436</v>
      </c>
      <c r="G7" s="361">
        <v>1.0938111386841938</v>
      </c>
      <c r="H7" s="361">
        <v>1.2034979086361026</v>
      </c>
      <c r="I7" s="360">
        <v>6.6105101287624035E-2</v>
      </c>
      <c r="J7" s="360">
        <v>0.43164927127684694</v>
      </c>
      <c r="K7" s="360">
        <v>2.9980000000000003E-2</v>
      </c>
      <c r="L7" s="360">
        <v>0.19595454549627142</v>
      </c>
      <c r="M7" s="360">
        <v>5.7440049819826783E-2</v>
      </c>
      <c r="N7" s="361">
        <v>1.8223436646890339</v>
      </c>
      <c r="O7" s="361">
        <v>1.5973947047834025</v>
      </c>
      <c r="P7" s="361">
        <v>10.069787934462136</v>
      </c>
      <c r="Q7" s="361">
        <v>23.282397038125321</v>
      </c>
      <c r="R7" s="361">
        <v>4.7756010350026017</v>
      </c>
      <c r="S7" s="361">
        <v>55.564670951608257</v>
      </c>
      <c r="T7" s="360">
        <v>0.13841228389990334</v>
      </c>
      <c r="U7" s="360">
        <v>3.7112803450657622E-2</v>
      </c>
      <c r="V7" s="360">
        <v>2.087451364490318E-2</v>
      </c>
      <c r="W7" s="360">
        <v>0.3006946507706782</v>
      </c>
      <c r="X7" s="360">
        <v>-0.1431069277976672</v>
      </c>
      <c r="Y7" s="360">
        <v>4.182244008432757E-3</v>
      </c>
      <c r="Z7" s="360">
        <v>4.1822440084328116E-3</v>
      </c>
      <c r="AA7" s="362">
        <v>3.8507098235985353E-2</v>
      </c>
    </row>
    <row r="8" spans="1:27" ht="14">
      <c r="A8" s="359" t="s">
        <v>513</v>
      </c>
      <c r="B8" s="144">
        <v>7</v>
      </c>
      <c r="C8" s="360">
        <v>-7.7683333333333328E-3</v>
      </c>
      <c r="D8" s="360">
        <v>0</v>
      </c>
      <c r="E8" s="360">
        <v>-1.3307855085708446E-4</v>
      </c>
      <c r="F8" s="360">
        <v>0.14043540086905243</v>
      </c>
      <c r="G8" s="361">
        <v>0.59847929046605686</v>
      </c>
      <c r="H8" s="361">
        <v>0.82770793546648558</v>
      </c>
      <c r="I8" s="360">
        <v>4.8367814554018118E-2</v>
      </c>
      <c r="J8" s="360">
        <v>0.21588164482905958</v>
      </c>
      <c r="K8" s="360">
        <v>1.9200000000000002E-2</v>
      </c>
      <c r="L8" s="360">
        <v>0.6837368986713982</v>
      </c>
      <c r="M8" s="360">
        <v>2.4880211407118772E-2</v>
      </c>
      <c r="N8" s="361">
        <v>0.14283525600359426</v>
      </c>
      <c r="O8" s="361">
        <v>5.3169845646763871</v>
      </c>
      <c r="P8" s="361" t="s">
        <v>98</v>
      </c>
      <c r="Q8" s="361" t="s">
        <v>98</v>
      </c>
      <c r="R8" s="361">
        <v>1.0031245608712027</v>
      </c>
      <c r="S8" s="361">
        <v>14.862679952459837</v>
      </c>
      <c r="T8" s="360" t="s">
        <v>98</v>
      </c>
      <c r="U8" s="360">
        <v>1.0567244136700984E-2</v>
      </c>
      <c r="V8" s="360">
        <v>1.0567244136700984E-2</v>
      </c>
      <c r="W8" s="360" t="s">
        <v>98</v>
      </c>
      <c r="X8" s="360">
        <v>7.4132086477827902E-2</v>
      </c>
      <c r="Y8" s="360">
        <v>0.46950068703493042</v>
      </c>
      <c r="Z8" s="360">
        <v>0.46950068703493042</v>
      </c>
      <c r="AA8" s="362">
        <v>-1.1112733946249372E-3</v>
      </c>
    </row>
    <row r="9" spans="1:27" ht="14">
      <c r="A9" s="359" t="s">
        <v>514</v>
      </c>
      <c r="B9" s="144">
        <v>598</v>
      </c>
      <c r="C9" s="360">
        <v>8.8245971896955475E-2</v>
      </c>
      <c r="D9" s="360">
        <v>0</v>
      </c>
      <c r="E9" s="360">
        <v>-8.1055913299619379E-4</v>
      </c>
      <c r="F9" s="360">
        <v>0.18951592738394935</v>
      </c>
      <c r="G9" s="361">
        <v>0.60010859406587325</v>
      </c>
      <c r="H9" s="361">
        <v>0.64487469601072567</v>
      </c>
      <c r="I9" s="360">
        <v>3.9738085651706251E-2</v>
      </c>
      <c r="J9" s="360">
        <v>0.19483337104095139</v>
      </c>
      <c r="K9" s="360">
        <v>1.9200000000000002E-2</v>
      </c>
      <c r="L9" s="360">
        <v>0.37983637553849753</v>
      </c>
      <c r="M9" s="360">
        <v>2.9967901866471358E-2</v>
      </c>
      <c r="N9" s="361">
        <v>0.23930540909038422</v>
      </c>
      <c r="O9" s="361">
        <v>4.4727113990451093</v>
      </c>
      <c r="P9" s="361" t="s">
        <v>98</v>
      </c>
      <c r="Q9" s="361" t="s">
        <v>98</v>
      </c>
      <c r="R9" s="361">
        <v>1.0754982433128295</v>
      </c>
      <c r="S9" s="361">
        <v>15.385193908763318</v>
      </c>
      <c r="T9" s="360" t="s">
        <v>98</v>
      </c>
      <c r="U9" s="360">
        <v>4.3659040048152624E-2</v>
      </c>
      <c r="V9" s="360">
        <v>2.0083498513917483E-2</v>
      </c>
      <c r="W9" s="360" t="s">
        <v>98</v>
      </c>
      <c r="X9" s="360">
        <v>8.2163761240382077E-2</v>
      </c>
      <c r="Y9" s="360">
        <v>0.44352246904193238</v>
      </c>
      <c r="Z9" s="360">
        <v>0.44352246904193238</v>
      </c>
      <c r="AA9" s="362">
        <v>-4.0525423832215883E-3</v>
      </c>
    </row>
    <row r="10" spans="1:27" ht="14">
      <c r="A10" s="359" t="s">
        <v>515</v>
      </c>
      <c r="B10" s="144">
        <v>23</v>
      </c>
      <c r="C10" s="360">
        <v>0.1439</v>
      </c>
      <c r="D10" s="360">
        <v>0.23874324286773871</v>
      </c>
      <c r="E10" s="360">
        <v>0.14430150625179838</v>
      </c>
      <c r="F10" s="360">
        <v>0.18356492728273902</v>
      </c>
      <c r="G10" s="361">
        <v>0.67603059283235478</v>
      </c>
      <c r="H10" s="361">
        <v>0.77826387505711703</v>
      </c>
      <c r="I10" s="360">
        <v>4.6034054902695923E-2</v>
      </c>
      <c r="J10" s="360">
        <v>0.37007991589511724</v>
      </c>
      <c r="K10" s="360">
        <v>2.58E-2</v>
      </c>
      <c r="L10" s="360">
        <v>0.18966662702601325</v>
      </c>
      <c r="M10" s="360">
        <v>4.0875112234379216E-2</v>
      </c>
      <c r="N10" s="361">
        <v>0.63934004304480485</v>
      </c>
      <c r="O10" s="361">
        <v>5.2995319513213071</v>
      </c>
      <c r="P10" s="361">
        <v>17.606214861939037</v>
      </c>
      <c r="Q10" s="361">
        <v>22.212937620161576</v>
      </c>
      <c r="R10" s="361">
        <v>3.450923356617885</v>
      </c>
      <c r="S10" s="361">
        <v>32.389619105867602</v>
      </c>
      <c r="T10" s="360">
        <v>0.15254713694240971</v>
      </c>
      <c r="U10" s="360">
        <v>6.3792244767965064E-2</v>
      </c>
      <c r="V10" s="360">
        <v>4.4906602485042947E-2</v>
      </c>
      <c r="W10" s="360">
        <v>0.24109615176253643</v>
      </c>
      <c r="X10" s="360">
        <v>0.10103219726606896</v>
      </c>
      <c r="Y10" s="360">
        <v>0.41579834097030699</v>
      </c>
      <c r="Z10" s="360">
        <v>0.41579834097030699</v>
      </c>
      <c r="AA10" s="362">
        <v>0.23840844026504482</v>
      </c>
    </row>
    <row r="11" spans="1:27" ht="14">
      <c r="A11" s="359" t="s">
        <v>516</v>
      </c>
      <c r="B11" s="144">
        <v>41</v>
      </c>
      <c r="C11" s="360">
        <v>0.27074999999999999</v>
      </c>
      <c r="D11" s="360">
        <v>0.19977131401368578</v>
      </c>
      <c r="E11" s="360">
        <v>0.26736280212057489</v>
      </c>
      <c r="F11" s="360">
        <v>0.18600628389948448</v>
      </c>
      <c r="G11" s="361">
        <v>0.70745452707328993</v>
      </c>
      <c r="H11" s="361">
        <v>0.79126084460435242</v>
      </c>
      <c r="I11" s="360">
        <v>4.6647511865325439E-2</v>
      </c>
      <c r="J11" s="360">
        <v>0.49695045723950748</v>
      </c>
      <c r="K11" s="360">
        <v>2.9980000000000003E-2</v>
      </c>
      <c r="L11" s="360">
        <v>0.17763588521661611</v>
      </c>
      <c r="M11" s="360">
        <v>4.2248872204295476E-2</v>
      </c>
      <c r="N11" s="361">
        <v>1.3749583854286462</v>
      </c>
      <c r="O11" s="361">
        <v>5.0750689171479744</v>
      </c>
      <c r="P11" s="361">
        <v>20.735000117358791</v>
      </c>
      <c r="Q11" s="361">
        <v>25.222526693198947</v>
      </c>
      <c r="R11" s="361">
        <v>8.4963437734355374</v>
      </c>
      <c r="S11" s="361">
        <v>116.71720199086498</v>
      </c>
      <c r="T11" s="360">
        <v>-9.5445017230278817E-2</v>
      </c>
      <c r="U11" s="360">
        <v>5.416471074329389E-2</v>
      </c>
      <c r="V11" s="360">
        <v>7.4061711823084256E-2</v>
      </c>
      <c r="W11" s="360">
        <v>0.37008898503512788</v>
      </c>
      <c r="X11" s="360">
        <v>0.28857246266781789</v>
      </c>
      <c r="Y11" s="360">
        <v>0.7419292283670309</v>
      </c>
      <c r="Z11" s="360">
        <v>0.7419292283670309</v>
      </c>
      <c r="AA11" s="362">
        <v>0.20112830379322871</v>
      </c>
    </row>
    <row r="12" spans="1:27" ht="14">
      <c r="A12" s="359" t="s">
        <v>517</v>
      </c>
      <c r="B12" s="144">
        <v>29</v>
      </c>
      <c r="C12" s="360">
        <v>5.7982999999999993E-2</v>
      </c>
      <c r="D12" s="360">
        <v>0.1929505932007099</v>
      </c>
      <c r="E12" s="360">
        <v>0.16921739618580592</v>
      </c>
      <c r="F12" s="360">
        <v>0.23160770260302921</v>
      </c>
      <c r="G12" s="361">
        <v>0.65336093647427396</v>
      </c>
      <c r="H12" s="361">
        <v>1.1290399914200455</v>
      </c>
      <c r="I12" s="360">
        <v>6.2590687595026145E-2</v>
      </c>
      <c r="J12" s="360">
        <v>0.45557616657732153</v>
      </c>
      <c r="K12" s="360">
        <v>2.9980000000000003E-2</v>
      </c>
      <c r="L12" s="360">
        <v>0.54897754439960667</v>
      </c>
      <c r="M12" s="360">
        <v>4.0244398767028927E-2</v>
      </c>
      <c r="N12" s="361">
        <v>0.97994599869273458</v>
      </c>
      <c r="O12" s="361">
        <v>2.0808035893696673</v>
      </c>
      <c r="P12" s="361">
        <v>7.8435943814345883</v>
      </c>
      <c r="Q12" s="361">
        <v>10.931193344849747</v>
      </c>
      <c r="R12" s="361">
        <v>1.5827116637449947</v>
      </c>
      <c r="S12" s="361">
        <v>12.419936016946153</v>
      </c>
      <c r="T12" s="360">
        <v>0.15711742011636806</v>
      </c>
      <c r="U12" s="360">
        <v>2.7447171351973422E-2</v>
      </c>
      <c r="V12" s="360">
        <v>-1.0518597030448126E-2</v>
      </c>
      <c r="W12" s="360">
        <v>1.1105642514742904</v>
      </c>
      <c r="X12" s="360">
        <v>2.3850206446309171E-3</v>
      </c>
      <c r="Y12" s="360">
        <v>1.6973796349178008E-3</v>
      </c>
      <c r="Z12" s="360">
        <v>1.6973796349177839E-3</v>
      </c>
      <c r="AA12" s="362">
        <v>0.19029743526881368</v>
      </c>
    </row>
    <row r="13" spans="1:27" ht="14">
      <c r="A13" s="359" t="s">
        <v>518</v>
      </c>
      <c r="B13" s="144">
        <v>39</v>
      </c>
      <c r="C13" s="360">
        <v>9.5143478260869566E-2</v>
      </c>
      <c r="D13" s="360">
        <v>4.2120772815183076E-3</v>
      </c>
      <c r="E13" s="360">
        <v>-2.8929962113133283E-5</v>
      </c>
      <c r="F13" s="360">
        <v>0.22176459343610108</v>
      </c>
      <c r="G13" s="361">
        <v>0.57694201658669508</v>
      </c>
      <c r="H13" s="361">
        <v>1.1318381741280126</v>
      </c>
      <c r="I13" s="360">
        <v>6.272276181884219E-2</v>
      </c>
      <c r="J13" s="360">
        <v>0.35902793198659527</v>
      </c>
      <c r="K13" s="360">
        <v>2.58E-2</v>
      </c>
      <c r="L13" s="360">
        <v>0.6863989735519761</v>
      </c>
      <c r="M13" s="360">
        <v>3.2597560755921753E-2</v>
      </c>
      <c r="N13" s="361">
        <v>0.21596489089219734</v>
      </c>
      <c r="O13" s="361">
        <v>4.9306724537536955</v>
      </c>
      <c r="P13" s="361" t="s">
        <v>98</v>
      </c>
      <c r="Q13" s="361" t="s">
        <v>98</v>
      </c>
      <c r="R13" s="361">
        <v>1.5165540056877012</v>
      </c>
      <c r="S13" s="361">
        <v>82.198355424233498</v>
      </c>
      <c r="T13" s="360" t="s">
        <v>98</v>
      </c>
      <c r="U13" s="360">
        <v>5.2392768488402484E-2</v>
      </c>
      <c r="V13" s="360">
        <v>2.7448227056769928E-2</v>
      </c>
      <c r="W13" s="360" t="s">
        <v>98</v>
      </c>
      <c r="X13" s="360">
        <v>0.12076092974514126</v>
      </c>
      <c r="Y13" s="360">
        <v>0.20841894732278166</v>
      </c>
      <c r="Z13" s="360">
        <v>0.20841894732278166</v>
      </c>
      <c r="AA13" s="362">
        <v>-1.497195846546239E-4</v>
      </c>
    </row>
    <row r="14" spans="1:27" ht="14">
      <c r="A14" s="359" t="s">
        <v>519</v>
      </c>
      <c r="B14" s="144">
        <v>42</v>
      </c>
      <c r="C14" s="360">
        <v>7.4732758620689649E-2</v>
      </c>
      <c r="D14" s="360">
        <v>0.10803949730457793</v>
      </c>
      <c r="E14" s="360">
        <v>0.24165694393891751</v>
      </c>
      <c r="F14" s="360">
        <v>0.26259827271827774</v>
      </c>
      <c r="G14" s="361">
        <v>0.9703551760346607</v>
      </c>
      <c r="H14" s="361">
        <v>1.0884900729483686</v>
      </c>
      <c r="I14" s="360">
        <v>6.0676731443163004E-2</v>
      </c>
      <c r="J14" s="360">
        <v>0.33993207104594719</v>
      </c>
      <c r="K14" s="360">
        <v>2.58E-2</v>
      </c>
      <c r="L14" s="360">
        <v>0.20816381881187787</v>
      </c>
      <c r="M14" s="360">
        <v>5.1966588676434354E-2</v>
      </c>
      <c r="N14" s="361">
        <v>2.5924572788089524</v>
      </c>
      <c r="O14" s="361">
        <v>1.9953151010184944</v>
      </c>
      <c r="P14" s="361">
        <v>13.271107257463079</v>
      </c>
      <c r="Q14" s="361">
        <v>18.167058935351683</v>
      </c>
      <c r="R14" s="361">
        <v>4.9769906112301321</v>
      </c>
      <c r="S14" s="361">
        <v>25.634097120278831</v>
      </c>
      <c r="T14" s="360">
        <v>0.15453419984060132</v>
      </c>
      <c r="U14" s="360">
        <v>2.4433610353444768E-2</v>
      </c>
      <c r="V14" s="360">
        <v>4.5278882463038071E-3</v>
      </c>
      <c r="W14" s="360">
        <v>-2.4613641395462703E-2</v>
      </c>
      <c r="X14" s="360">
        <v>0.20538521259637507</v>
      </c>
      <c r="Y14" s="360">
        <v>0.21488040227325825</v>
      </c>
      <c r="Z14" s="360">
        <v>0.21488040227325822</v>
      </c>
      <c r="AA14" s="362">
        <v>0.10983107146900138</v>
      </c>
    </row>
    <row r="15" spans="1:27" ht="14">
      <c r="A15" s="359" t="s">
        <v>520</v>
      </c>
      <c r="B15" s="144">
        <v>169</v>
      </c>
      <c r="C15" s="360">
        <v>7.5333648648648638E-2</v>
      </c>
      <c r="D15" s="360">
        <v>8.8794149467611078E-2</v>
      </c>
      <c r="E15" s="360">
        <v>0.18329932580841857</v>
      </c>
      <c r="F15" s="360">
        <v>0.23839807268309032</v>
      </c>
      <c r="G15" s="361">
        <v>0.83002091868778094</v>
      </c>
      <c r="H15" s="361">
        <v>0.9267932361238046</v>
      </c>
      <c r="I15" s="360">
        <v>5.3044640745043573E-2</v>
      </c>
      <c r="J15" s="360">
        <v>0.45645353144669532</v>
      </c>
      <c r="K15" s="360">
        <v>2.9980000000000003E-2</v>
      </c>
      <c r="L15" s="360">
        <v>0.19818858549972049</v>
      </c>
      <c r="M15" s="360">
        <v>4.6869234896538131E-2</v>
      </c>
      <c r="N15" s="361">
        <v>2.1571632390102891</v>
      </c>
      <c r="O15" s="361">
        <v>2.9656653719133295</v>
      </c>
      <c r="P15" s="361">
        <v>17.396962450101594</v>
      </c>
      <c r="Q15" s="361">
        <v>31.207264566605247</v>
      </c>
      <c r="R15" s="361">
        <v>5.8494578130119574</v>
      </c>
      <c r="S15" s="361">
        <v>44.220616607815849</v>
      </c>
      <c r="T15" s="360">
        <v>0.1383677881159181</v>
      </c>
      <c r="U15" s="360">
        <v>3.1365189924289869E-2</v>
      </c>
      <c r="V15" s="360">
        <v>3.4450903020820478E-3</v>
      </c>
      <c r="W15" s="360">
        <v>-0.11507975896192031</v>
      </c>
      <c r="X15" s="360">
        <v>6.8090727350625171E-2</v>
      </c>
      <c r="Y15" s="360">
        <v>0.65869164942556535</v>
      </c>
      <c r="Z15" s="360">
        <v>0.65869164942556535</v>
      </c>
      <c r="AA15" s="362">
        <v>9.1753946663984842E-2</v>
      </c>
    </row>
    <row r="16" spans="1:27" ht="14">
      <c r="A16" s="359" t="s">
        <v>521</v>
      </c>
      <c r="B16" s="144">
        <v>13</v>
      </c>
      <c r="C16" s="360">
        <v>6.6987499999999991E-2</v>
      </c>
      <c r="D16" s="360">
        <v>0.18151825584719841</v>
      </c>
      <c r="E16" s="360">
        <v>0.1108695566443063</v>
      </c>
      <c r="F16" s="360">
        <v>0.2232749536475076</v>
      </c>
      <c r="G16" s="361">
        <v>0.70050896959819531</v>
      </c>
      <c r="H16" s="361">
        <v>0.94296590940156932</v>
      </c>
      <c r="I16" s="360">
        <v>5.3807990923754073E-2</v>
      </c>
      <c r="J16" s="360">
        <v>0.32015889451441987</v>
      </c>
      <c r="K16" s="360">
        <v>2.58E-2</v>
      </c>
      <c r="L16" s="360">
        <v>0.34194704307327883</v>
      </c>
      <c r="M16" s="360">
        <v>4.1848738142904678E-2</v>
      </c>
      <c r="N16" s="361">
        <v>0.75699645884908628</v>
      </c>
      <c r="O16" s="361">
        <v>3.8522973077997342</v>
      </c>
      <c r="P16" s="361">
        <v>11.110660352699769</v>
      </c>
      <c r="Q16" s="361">
        <v>20.197523407169026</v>
      </c>
      <c r="R16" s="361">
        <v>3.1267555932444693</v>
      </c>
      <c r="S16" s="361">
        <v>63.676658140226202</v>
      </c>
      <c r="T16" s="360">
        <v>-1.3478658831321332E-2</v>
      </c>
      <c r="U16" s="360">
        <v>0.10944094488998773</v>
      </c>
      <c r="V16" s="360">
        <v>-1.74479403422238E-2</v>
      </c>
      <c r="W16" s="360">
        <v>-0.15009272873203189</v>
      </c>
      <c r="X16" s="360">
        <v>0.11465857561738993</v>
      </c>
      <c r="Y16" s="360">
        <v>0.26204693540483148</v>
      </c>
      <c r="Z16" s="360">
        <v>0.26204693540483148</v>
      </c>
      <c r="AA16" s="362">
        <v>0.18074278023464049</v>
      </c>
    </row>
    <row r="17" spans="1:27" ht="14">
      <c r="A17" s="359" t="s">
        <v>522</v>
      </c>
      <c r="B17" s="144">
        <v>48</v>
      </c>
      <c r="C17" s="360">
        <v>0.22507260869565218</v>
      </c>
      <c r="D17" s="360">
        <v>7.2125799849545452E-2</v>
      </c>
      <c r="E17" s="360">
        <v>9.526127058726884E-2</v>
      </c>
      <c r="F17" s="360">
        <v>9.11707592257123E-2</v>
      </c>
      <c r="G17" s="361">
        <v>0.76177480335166814</v>
      </c>
      <c r="H17" s="361">
        <v>0.99347761010415836</v>
      </c>
      <c r="I17" s="360">
        <v>5.6192143196916275E-2</v>
      </c>
      <c r="J17" s="360">
        <v>0.48059008560791999</v>
      </c>
      <c r="K17" s="360">
        <v>2.9980000000000003E-2</v>
      </c>
      <c r="L17" s="360">
        <v>0.35532754282219436</v>
      </c>
      <c r="M17" s="360">
        <v>4.4002012434523979E-2</v>
      </c>
      <c r="N17" s="361">
        <v>1.3495744099697256</v>
      </c>
      <c r="O17" s="361">
        <v>1.5174120796495583</v>
      </c>
      <c r="P17" s="361">
        <v>10.009800017612704</v>
      </c>
      <c r="Q17" s="361">
        <v>20.702463001148864</v>
      </c>
      <c r="R17" s="361">
        <v>2.9613466941521587</v>
      </c>
      <c r="S17" s="361">
        <v>45.863876676003365</v>
      </c>
      <c r="T17" s="360">
        <v>0.15781685360764552</v>
      </c>
      <c r="U17" s="360">
        <v>6.3293803549302821E-2</v>
      </c>
      <c r="V17" s="360">
        <v>3.1644256342847926E-2</v>
      </c>
      <c r="W17" s="360">
        <v>0.18240181383069348</v>
      </c>
      <c r="X17" s="360">
        <v>-1.8172614575978987E-2</v>
      </c>
      <c r="Y17" s="360">
        <v>4.3914837186071155E-3</v>
      </c>
      <c r="Z17" s="360">
        <v>4.3914837186070921E-3</v>
      </c>
      <c r="AA17" s="362">
        <v>7.2759769960116197E-2</v>
      </c>
    </row>
    <row r="18" spans="1:27" ht="14">
      <c r="A18" s="359" t="s">
        <v>523</v>
      </c>
      <c r="B18" s="144">
        <v>5</v>
      </c>
      <c r="C18" s="360">
        <v>0.28993999999999998</v>
      </c>
      <c r="D18" s="360">
        <v>5.8127006897219613E-2</v>
      </c>
      <c r="E18" s="360">
        <v>5.9258028373323071E-2</v>
      </c>
      <c r="F18" s="360">
        <v>5.7040998217468802E-2</v>
      </c>
      <c r="G18" s="361">
        <v>1.0360679957510837</v>
      </c>
      <c r="H18" s="361">
        <v>1.3627228737800379</v>
      </c>
      <c r="I18" s="360">
        <v>7.3620519642417795E-2</v>
      </c>
      <c r="J18" s="360">
        <v>0.36161247414360542</v>
      </c>
      <c r="K18" s="360">
        <v>2.58E-2</v>
      </c>
      <c r="L18" s="360">
        <v>0.36748841144372296</v>
      </c>
      <c r="M18" s="360">
        <v>5.3487108570495358E-2</v>
      </c>
      <c r="N18" s="361">
        <v>1.031930960947973</v>
      </c>
      <c r="O18" s="361">
        <v>1.7193508613762196</v>
      </c>
      <c r="P18" s="361">
        <v>13.381341293177154</v>
      </c>
      <c r="Q18" s="361">
        <v>29.250566929834815</v>
      </c>
      <c r="R18" s="361">
        <v>2.1784653458416967</v>
      </c>
      <c r="S18" s="361">
        <v>17.186064480100946</v>
      </c>
      <c r="T18" s="360">
        <v>0.17676019324724168</v>
      </c>
      <c r="U18" s="360">
        <v>5.0743138340853991E-2</v>
      </c>
      <c r="V18" s="360">
        <v>2.3919844159355344E-2</v>
      </c>
      <c r="W18" s="360">
        <v>-0.68790749421176467</v>
      </c>
      <c r="X18" s="360">
        <v>0.13253487594391739</v>
      </c>
      <c r="Y18" s="360">
        <v>0.51844357122128371</v>
      </c>
      <c r="Z18" s="360">
        <v>0.51844357122128371</v>
      </c>
      <c r="AA18" s="362">
        <v>5.8155715753131762E-2</v>
      </c>
    </row>
    <row r="19" spans="1:27" ht="14">
      <c r="A19" s="359" t="s">
        <v>524</v>
      </c>
      <c r="B19" s="144">
        <v>97</v>
      </c>
      <c r="C19" s="360">
        <v>5.935418181818182E-2</v>
      </c>
      <c r="D19" s="360">
        <v>0.12065483831392119</v>
      </c>
      <c r="E19" s="360">
        <v>0.11841392418279365</v>
      </c>
      <c r="F19" s="360">
        <v>0.18168903732029262</v>
      </c>
      <c r="G19" s="361">
        <v>0.81821239630692277</v>
      </c>
      <c r="H19" s="361">
        <v>0.92659200882771764</v>
      </c>
      <c r="I19" s="360">
        <v>5.3035142816668268E-2</v>
      </c>
      <c r="J19" s="360">
        <v>0.38541268779569865</v>
      </c>
      <c r="K19" s="360">
        <v>2.58E-2</v>
      </c>
      <c r="L19" s="360">
        <v>0.20225162151176118</v>
      </c>
      <c r="M19" s="360">
        <v>4.6117906224441792E-2</v>
      </c>
      <c r="N19" s="361">
        <v>1.039150967937543</v>
      </c>
      <c r="O19" s="361">
        <v>3.2734869788149399</v>
      </c>
      <c r="P19" s="361">
        <v>15.557856524721306</v>
      </c>
      <c r="Q19" s="361">
        <v>26.532549641016292</v>
      </c>
      <c r="R19" s="361">
        <v>3.0972111715996866</v>
      </c>
      <c r="S19" s="361">
        <v>58.864592105629278</v>
      </c>
      <c r="T19" s="360">
        <v>0.21288350405516016</v>
      </c>
      <c r="U19" s="360">
        <v>6.3716484957961658E-2</v>
      </c>
      <c r="V19" s="360">
        <v>2.3084996958236067E-2</v>
      </c>
      <c r="W19" s="360">
        <v>0.10485662262283377</v>
      </c>
      <c r="X19" s="360">
        <v>2.4999967268943841E-2</v>
      </c>
      <c r="Y19" s="360">
        <v>1.6368906543614743</v>
      </c>
      <c r="Z19" s="360">
        <v>1.6368906543614743</v>
      </c>
      <c r="AA19" s="362">
        <v>0.12183987826365998</v>
      </c>
    </row>
    <row r="20" spans="1:27" ht="14">
      <c r="A20" s="359" t="s">
        <v>525</v>
      </c>
      <c r="B20" s="144">
        <v>29</v>
      </c>
      <c r="C20" s="360">
        <v>-0.14184545454545455</v>
      </c>
      <c r="D20" s="360">
        <v>-8.7021433686582966E-2</v>
      </c>
      <c r="E20" s="360">
        <v>-7.4963742338342174E-2</v>
      </c>
      <c r="F20" s="360">
        <v>0</v>
      </c>
      <c r="G20" s="361">
        <v>0.56217651732938612</v>
      </c>
      <c r="H20" s="361">
        <v>0.82767054510963167</v>
      </c>
      <c r="I20" s="360">
        <v>4.8366049729174618E-2</v>
      </c>
      <c r="J20" s="360">
        <v>0.42274027838076222</v>
      </c>
      <c r="K20" s="360">
        <v>2.9980000000000003E-2</v>
      </c>
      <c r="L20" s="360">
        <v>0.48620323960370054</v>
      </c>
      <c r="M20" s="360">
        <v>3.5491072044039063E-2</v>
      </c>
      <c r="N20" s="361">
        <v>0.87019234752509467</v>
      </c>
      <c r="O20" s="361">
        <v>1.0829349201864724</v>
      </c>
      <c r="P20" s="361">
        <v>5.7852295537945153</v>
      </c>
      <c r="Q20" s="361" t="s">
        <v>98</v>
      </c>
      <c r="R20" s="361">
        <v>1.3578938055185275</v>
      </c>
      <c r="S20" s="361">
        <v>37.680380236658841</v>
      </c>
      <c r="T20" s="360">
        <v>7.7455270155492792E-2</v>
      </c>
      <c r="U20" s="360">
        <v>0.11286931613161091</v>
      </c>
      <c r="V20" s="360">
        <v>-7.1878003963649864E-2</v>
      </c>
      <c r="W20" s="360" t="s">
        <v>98</v>
      </c>
      <c r="X20" s="360">
        <v>-0.41663846571292651</v>
      </c>
      <c r="Y20" s="360">
        <v>2.2375830881551706E-2</v>
      </c>
      <c r="Z20" s="360">
        <v>2.2375830881551706E-2</v>
      </c>
      <c r="AA20" s="362">
        <v>-8.6146175097431971E-2</v>
      </c>
    </row>
    <row r="21" spans="1:27" ht="14">
      <c r="A21" s="359" t="s">
        <v>526</v>
      </c>
      <c r="B21" s="144">
        <v>116</v>
      </c>
      <c r="C21" s="360">
        <v>9.4039999999999999E-2</v>
      </c>
      <c r="D21" s="360">
        <v>7.5787773903388839E-2</v>
      </c>
      <c r="E21" s="360">
        <v>0.2298022219858635</v>
      </c>
      <c r="F21" s="360">
        <v>0.12935124662396041</v>
      </c>
      <c r="G21" s="361">
        <v>0.94019446584590494</v>
      </c>
      <c r="H21" s="361">
        <v>1.1172533064231442</v>
      </c>
      <c r="I21" s="360">
        <v>6.2034356063172411E-2</v>
      </c>
      <c r="J21" s="360">
        <v>0.45890860890294438</v>
      </c>
      <c r="K21" s="360">
        <v>2.9980000000000003E-2</v>
      </c>
      <c r="L21" s="360">
        <v>0.28441649812649367</v>
      </c>
      <c r="M21" s="360">
        <v>5.0615330576250457E-2</v>
      </c>
      <c r="N21" s="361">
        <v>3.0298335785950181</v>
      </c>
      <c r="O21" s="361">
        <v>1.4323282243264928</v>
      </c>
      <c r="P21" s="361">
        <v>10.703294417645781</v>
      </c>
      <c r="Q21" s="361">
        <v>17.955357866981824</v>
      </c>
      <c r="R21" s="361">
        <v>4.0009819939510463</v>
      </c>
      <c r="S21" s="361">
        <v>27.860284729188052</v>
      </c>
      <c r="T21" s="360">
        <v>0.12085695378067635</v>
      </c>
      <c r="U21" s="360">
        <v>1.8050529500291616E-2</v>
      </c>
      <c r="V21" s="360">
        <v>-1.3398434376508724E-3</v>
      </c>
      <c r="W21" s="360">
        <v>-0.16577062867375225</v>
      </c>
      <c r="X21" s="360">
        <v>0.13499616893510502</v>
      </c>
      <c r="Y21" s="360">
        <v>0.75571575518498502</v>
      </c>
      <c r="Z21" s="360">
        <v>0.75571575518498502</v>
      </c>
      <c r="AA21" s="362">
        <v>8.0215230749698954E-2</v>
      </c>
    </row>
    <row r="22" spans="1:27" ht="14">
      <c r="A22" s="359" t="s">
        <v>527</v>
      </c>
      <c r="B22" s="144">
        <v>52</v>
      </c>
      <c r="C22" s="360">
        <v>4.061E-2</v>
      </c>
      <c r="D22" s="360">
        <v>0.15552039250702068</v>
      </c>
      <c r="E22" s="360">
        <v>0.27816937415419485</v>
      </c>
      <c r="F22" s="360">
        <v>0.14173391130511429</v>
      </c>
      <c r="G22" s="361">
        <v>1.1394194094100192</v>
      </c>
      <c r="H22" s="361">
        <v>1.1840744332992201</v>
      </c>
      <c r="I22" s="360">
        <v>6.5188313251723182E-2</v>
      </c>
      <c r="J22" s="360">
        <v>0.42866445573502415</v>
      </c>
      <c r="K22" s="360">
        <v>2.9980000000000003E-2</v>
      </c>
      <c r="L22" s="360">
        <v>8.5548343531199625E-2</v>
      </c>
      <c r="M22" s="360">
        <v>6.1483820752963034E-2</v>
      </c>
      <c r="N22" s="361">
        <v>1.8063509746701698</v>
      </c>
      <c r="O22" s="361">
        <v>5.1406397654346936</v>
      </c>
      <c r="P22" s="361">
        <v>24.763418044250692</v>
      </c>
      <c r="Q22" s="361">
        <v>32.891802691131986</v>
      </c>
      <c r="R22" s="361">
        <v>22.895969862404975</v>
      </c>
      <c r="S22" s="361">
        <v>27.254643581045862</v>
      </c>
      <c r="T22" s="360">
        <v>-9.0831158512661922E-2</v>
      </c>
      <c r="U22" s="360">
        <v>2.71589677736691E-2</v>
      </c>
      <c r="V22" s="360">
        <v>1.7043799815278755E-3</v>
      </c>
      <c r="W22" s="360">
        <v>-2.4432574778906627E-3</v>
      </c>
      <c r="X22" s="360">
        <v>0.50530700076591384</v>
      </c>
      <c r="Y22" s="360">
        <v>0.26832300978709189</v>
      </c>
      <c r="Z22" s="360">
        <v>0.26832300978709189</v>
      </c>
      <c r="AA22" s="362">
        <v>0.15976104070516475</v>
      </c>
    </row>
    <row r="23" spans="1:27" ht="14">
      <c r="A23" s="359" t="s">
        <v>528</v>
      </c>
      <c r="B23" s="144">
        <v>46</v>
      </c>
      <c r="C23" s="360">
        <v>3.5024444444444441E-2</v>
      </c>
      <c r="D23" s="360">
        <v>9.4110447087746116E-2</v>
      </c>
      <c r="E23" s="360">
        <v>9.9327618240169419E-2</v>
      </c>
      <c r="F23" s="360">
        <v>0.22986853036142532</v>
      </c>
      <c r="G23" s="361">
        <v>0.87221512558938474</v>
      </c>
      <c r="H23" s="361">
        <v>1.0210954372727519</v>
      </c>
      <c r="I23" s="360">
        <v>5.7495704639273892E-2</v>
      </c>
      <c r="J23" s="360">
        <v>0.33390823510550172</v>
      </c>
      <c r="K23" s="360">
        <v>2.58E-2</v>
      </c>
      <c r="L23" s="360">
        <v>0.25804788914661603</v>
      </c>
      <c r="M23" s="360">
        <v>4.7519133366299336E-2</v>
      </c>
      <c r="N23" s="361">
        <v>1.206776267166916</v>
      </c>
      <c r="O23" s="361">
        <v>2.2653310476695232</v>
      </c>
      <c r="P23" s="361">
        <v>15.233753921075373</v>
      </c>
      <c r="Q23" s="361">
        <v>23.470484102110117</v>
      </c>
      <c r="R23" s="361">
        <v>3.820222366541409</v>
      </c>
      <c r="S23" s="361">
        <v>108.39709320846305</v>
      </c>
      <c r="T23" s="360">
        <v>0.17230748820030611</v>
      </c>
      <c r="U23" s="360">
        <v>5.2131428478764265E-2</v>
      </c>
      <c r="V23" s="360">
        <v>1.963238854994992E-2</v>
      </c>
      <c r="W23" s="360">
        <v>-8.2577741574810168E-2</v>
      </c>
      <c r="X23" s="360">
        <v>0.13203652319198941</v>
      </c>
      <c r="Y23" s="360">
        <v>0.49845976311074519</v>
      </c>
      <c r="Z23" s="360">
        <v>0.49845976311074525</v>
      </c>
      <c r="AA23" s="362">
        <v>9.247820870969517E-2</v>
      </c>
    </row>
    <row r="24" spans="1:27" ht="14">
      <c r="A24" s="359" t="s">
        <v>529</v>
      </c>
      <c r="B24" s="144">
        <v>29</v>
      </c>
      <c r="C24" s="360">
        <v>5.0763636363636393E-3</v>
      </c>
      <c r="D24" s="360">
        <v>0.18064192537411194</v>
      </c>
      <c r="E24" s="360">
        <v>0.13444721876605892</v>
      </c>
      <c r="F24" s="360">
        <v>0.20759642859229738</v>
      </c>
      <c r="G24" s="361">
        <v>0.89292367124205574</v>
      </c>
      <c r="H24" s="361">
        <v>1.0248022870265143</v>
      </c>
      <c r="I24" s="360">
        <v>5.767066794765148E-2</v>
      </c>
      <c r="J24" s="360">
        <v>0.29937382425934511</v>
      </c>
      <c r="K24" s="360">
        <v>2.58E-2</v>
      </c>
      <c r="L24" s="360">
        <v>0.22921378752881652</v>
      </c>
      <c r="M24" s="360">
        <v>4.876876819237129E-2</v>
      </c>
      <c r="N24" s="361">
        <v>0.79274924095640742</v>
      </c>
      <c r="O24" s="361">
        <v>2.7973465663251851</v>
      </c>
      <c r="P24" s="361">
        <v>11.373562877617585</v>
      </c>
      <c r="Q24" s="361">
        <v>15.120913165750846</v>
      </c>
      <c r="R24" s="361">
        <v>1.8571825941414872</v>
      </c>
      <c r="S24" s="361">
        <v>27.983642584788679</v>
      </c>
      <c r="T24" s="360">
        <v>1.483491445574776E-2</v>
      </c>
      <c r="U24" s="360">
        <v>5.0773905367239976E-2</v>
      </c>
      <c r="V24" s="360">
        <v>2.9695392039296772E-2</v>
      </c>
      <c r="W24" s="360">
        <v>0.20485767730748389</v>
      </c>
      <c r="X24" s="360">
        <v>0.10620755186982106</v>
      </c>
      <c r="Y24" s="360">
        <v>0.14321375871763409</v>
      </c>
      <c r="Z24" s="360">
        <v>0.14321375871763409</v>
      </c>
      <c r="AA24" s="362">
        <v>0.18142791563042543</v>
      </c>
    </row>
    <row r="25" spans="1:27" ht="14">
      <c r="A25" s="359" t="s">
        <v>530</v>
      </c>
      <c r="B25" s="144">
        <v>547</v>
      </c>
      <c r="C25" s="360">
        <v>0.32639857142857154</v>
      </c>
      <c r="D25" s="360">
        <v>9.5441354077707152E-2</v>
      </c>
      <c r="E25" s="360">
        <v>6.2191687311969009E-2</v>
      </c>
      <c r="F25" s="360">
        <v>0.11951101190106696</v>
      </c>
      <c r="G25" s="361">
        <v>0.85149618276290218</v>
      </c>
      <c r="H25" s="361">
        <v>0.88621166971942</v>
      </c>
      <c r="I25" s="360">
        <v>5.112919081075662E-2</v>
      </c>
      <c r="J25" s="360">
        <v>0.50102002093170805</v>
      </c>
      <c r="K25" s="360">
        <v>2.9980000000000003E-2</v>
      </c>
      <c r="L25" s="360">
        <v>0.13419725368429949</v>
      </c>
      <c r="M25" s="360">
        <v>4.7204754396634928E-2</v>
      </c>
      <c r="N25" s="361">
        <v>0.48336474338597796</v>
      </c>
      <c r="O25" s="361">
        <v>8.7344405883629719</v>
      </c>
      <c r="P25" s="361">
        <v>14.395456267958144</v>
      </c>
      <c r="Q25" s="361">
        <v>57.628031832586927</v>
      </c>
      <c r="R25" s="361">
        <v>7.1806327240045089</v>
      </c>
      <c r="S25" s="361">
        <v>480.18431697399177</v>
      </c>
      <c r="T25" s="360">
        <v>0.13136172945902347</v>
      </c>
      <c r="U25" s="360">
        <v>3.5629635456688805E-2</v>
      </c>
      <c r="V25" s="360">
        <v>0.37648897569690665</v>
      </c>
      <c r="W25" s="360">
        <v>7.2154867100099889</v>
      </c>
      <c r="X25" s="360">
        <v>-1.1878403785774745E-2</v>
      </c>
      <c r="Y25" s="360">
        <v>1.2584434526538685E-3</v>
      </c>
      <c r="Z25" s="360">
        <v>1.2584434526539123E-3</v>
      </c>
      <c r="AA25" s="362">
        <v>0.1291522149779662</v>
      </c>
    </row>
    <row r="26" spans="1:27" ht="14">
      <c r="A26" s="359" t="s">
        <v>531</v>
      </c>
      <c r="B26" s="144">
        <v>287</v>
      </c>
      <c r="C26" s="360">
        <v>0.32655374999999998</v>
      </c>
      <c r="D26" s="360">
        <v>0.24020052440609022</v>
      </c>
      <c r="E26" s="360">
        <v>0.20310872148840359</v>
      </c>
      <c r="F26" s="360">
        <v>0.16298183314653755</v>
      </c>
      <c r="G26" s="361">
        <v>0.83727850271797655</v>
      </c>
      <c r="H26" s="361">
        <v>0.90821840366478879</v>
      </c>
      <c r="I26" s="360">
        <v>5.2167908652978032E-2</v>
      </c>
      <c r="J26" s="360">
        <v>0.5545237555574154</v>
      </c>
      <c r="K26" s="360">
        <v>2.9980000000000003E-2</v>
      </c>
      <c r="L26" s="360">
        <v>0.1538384177716649</v>
      </c>
      <c r="M26" s="360">
        <v>4.7509295435647143E-2</v>
      </c>
      <c r="N26" s="361">
        <v>0.81486263323106978</v>
      </c>
      <c r="O26" s="361">
        <v>5.5545983292003589</v>
      </c>
      <c r="P26" s="361">
        <v>14.320361585486834</v>
      </c>
      <c r="Q26" s="361">
        <v>22.267716292883382</v>
      </c>
      <c r="R26" s="361">
        <v>5.0423372251545731</v>
      </c>
      <c r="S26" s="361">
        <v>34.542058049164375</v>
      </c>
      <c r="T26" s="360">
        <v>0.26225622765210937</v>
      </c>
      <c r="U26" s="360">
        <v>5.005383316952787E-2</v>
      </c>
      <c r="V26" s="360">
        <v>9.7390612971969506E-2</v>
      </c>
      <c r="W26" s="360">
        <v>0.48917071797569545</v>
      </c>
      <c r="X26" s="360">
        <v>0.18978925035861566</v>
      </c>
      <c r="Y26" s="360">
        <v>0.60855267822210035</v>
      </c>
      <c r="Z26" s="360">
        <v>0.60855267822210035</v>
      </c>
      <c r="AA26" s="362">
        <v>0.25376979881957329</v>
      </c>
    </row>
    <row r="27" spans="1:27" ht="14">
      <c r="A27" s="359" t="s">
        <v>532</v>
      </c>
      <c r="B27" s="144">
        <v>38</v>
      </c>
      <c r="C27" s="360">
        <v>1.0088888888888892E-2</v>
      </c>
      <c r="D27" s="360">
        <v>9.2613468966935536E-2</v>
      </c>
      <c r="E27" s="360">
        <v>9.8891680964604045E-2</v>
      </c>
      <c r="F27" s="360">
        <v>0.16654618048728848</v>
      </c>
      <c r="G27" s="361">
        <v>1.0706243737868801</v>
      </c>
      <c r="H27" s="361">
        <v>1.1476809803615506</v>
      </c>
      <c r="I27" s="360">
        <v>6.3470542273065186E-2</v>
      </c>
      <c r="J27" s="360">
        <v>0.55726744957675056</v>
      </c>
      <c r="K27" s="360">
        <v>2.9980000000000003E-2</v>
      </c>
      <c r="L27" s="360">
        <v>0.19570414695886867</v>
      </c>
      <c r="M27" s="360">
        <v>5.5332157478351775E-2</v>
      </c>
      <c r="N27" s="361">
        <v>1.1668784652111823</v>
      </c>
      <c r="O27" s="361">
        <v>2.8063477998163817</v>
      </c>
      <c r="P27" s="361">
        <v>14.427941847430578</v>
      </c>
      <c r="Q27" s="361">
        <v>31.20589851999431</v>
      </c>
      <c r="R27" s="361">
        <v>2.9174350641711149</v>
      </c>
      <c r="S27" s="361">
        <v>26.631329737537396</v>
      </c>
      <c r="T27" s="360">
        <v>7.4714525935403453E-2</v>
      </c>
      <c r="U27" s="360">
        <v>3.8754347549663143E-2</v>
      </c>
      <c r="V27" s="360">
        <v>2.6957645691001734E-2</v>
      </c>
      <c r="W27" s="360">
        <v>0.61407623908671505</v>
      </c>
      <c r="X27" s="360">
        <v>-5.662813099300916E-2</v>
      </c>
      <c r="Y27" s="360">
        <v>5.875310487758168E-4</v>
      </c>
      <c r="Z27" s="360">
        <v>5.8753104877584672E-4</v>
      </c>
      <c r="AA27" s="362">
        <v>8.8249833595481525E-2</v>
      </c>
    </row>
    <row r="28" spans="1:27" ht="14">
      <c r="A28" s="359" t="s">
        <v>533</v>
      </c>
      <c r="B28" s="144">
        <v>122</v>
      </c>
      <c r="C28" s="360">
        <v>4.2116111111111104E-2</v>
      </c>
      <c r="D28" s="360">
        <v>0.1260196090138315</v>
      </c>
      <c r="E28" s="360">
        <v>0.22121527249320072</v>
      </c>
      <c r="F28" s="360">
        <v>0.17212659415707204</v>
      </c>
      <c r="G28" s="361">
        <v>1.0013558595552174</v>
      </c>
      <c r="H28" s="361">
        <v>1.0590362036719883</v>
      </c>
      <c r="I28" s="360">
        <v>5.9286508813317845E-2</v>
      </c>
      <c r="J28" s="360">
        <v>0.55119424455412458</v>
      </c>
      <c r="K28" s="360">
        <v>2.9980000000000003E-2</v>
      </c>
      <c r="L28" s="360">
        <v>0.13307421483637799</v>
      </c>
      <c r="M28" s="360">
        <v>5.4309385623975644E-2</v>
      </c>
      <c r="N28" s="361">
        <v>1.8033803366179071</v>
      </c>
      <c r="O28" s="361">
        <v>3.6555586962612141</v>
      </c>
      <c r="P28" s="361">
        <v>15.957574454786183</v>
      </c>
      <c r="Q28" s="361">
        <v>22.8282656767188</v>
      </c>
      <c r="R28" s="361">
        <v>6.275090002935122</v>
      </c>
      <c r="S28" s="361">
        <v>106.0185982870089</v>
      </c>
      <c r="T28" s="360">
        <v>0.20995663482744578</v>
      </c>
      <c r="U28" s="360">
        <v>3.7866736799152867E-2</v>
      </c>
      <c r="V28" s="360">
        <v>4.4920461042954572E-2</v>
      </c>
      <c r="W28" s="360">
        <v>0.36521953697919074</v>
      </c>
      <c r="X28" s="360">
        <v>0.17667213707166918</v>
      </c>
      <c r="Y28" s="360">
        <v>0.43547064175723638</v>
      </c>
      <c r="Z28" s="360">
        <v>0.43547064175723638</v>
      </c>
      <c r="AA28" s="362">
        <v>0.12836155649720854</v>
      </c>
    </row>
    <row r="29" spans="1:27" ht="14">
      <c r="A29" s="359" t="s">
        <v>534</v>
      </c>
      <c r="B29" s="144">
        <v>22</v>
      </c>
      <c r="C29" s="360">
        <v>1.6941666666666667E-2</v>
      </c>
      <c r="D29" s="360">
        <v>1.9904348412680198E-2</v>
      </c>
      <c r="E29" s="360">
        <v>4.6607492385584447E-2</v>
      </c>
      <c r="F29" s="360">
        <v>0.11280558789289871</v>
      </c>
      <c r="G29" s="361">
        <v>1.0108246814095976</v>
      </c>
      <c r="H29" s="361">
        <v>0.95535266136307728</v>
      </c>
      <c r="I29" s="360">
        <v>5.4392645616337248E-2</v>
      </c>
      <c r="J29" s="360">
        <v>0.54908907567487597</v>
      </c>
      <c r="K29" s="360">
        <v>2.9980000000000003E-2</v>
      </c>
      <c r="L29" s="360">
        <v>8.6783483622848448E-2</v>
      </c>
      <c r="M29" s="360">
        <v>5.157155359876793E-2</v>
      </c>
      <c r="N29" s="361">
        <v>1.8201553312722258</v>
      </c>
      <c r="O29" s="361">
        <v>1.3166288849653709</v>
      </c>
      <c r="P29" s="361">
        <v>18.961147120687322</v>
      </c>
      <c r="Q29" s="361">
        <v>59.518418530000268</v>
      </c>
      <c r="R29" s="361">
        <v>4.2630365457675641</v>
      </c>
      <c r="S29" s="361">
        <v>14.621502322457888</v>
      </c>
      <c r="T29" s="360">
        <v>0.13255100340049722</v>
      </c>
      <c r="U29" s="360">
        <v>1.6756066198075428E-2</v>
      </c>
      <c r="V29" s="360">
        <v>9.7431464416019315E-3</v>
      </c>
      <c r="W29" s="360">
        <v>-1.1244550392272765</v>
      </c>
      <c r="X29" s="360">
        <v>-4.8857210527873993E-2</v>
      </c>
      <c r="Y29" s="360">
        <v>0</v>
      </c>
      <c r="Z29" s="360">
        <v>0</v>
      </c>
      <c r="AA29" s="362">
        <v>2.5820612218617388E-2</v>
      </c>
    </row>
    <row r="30" spans="1:27" ht="14">
      <c r="A30" s="359" t="s">
        <v>535</v>
      </c>
      <c r="B30" s="144">
        <v>157</v>
      </c>
      <c r="C30" s="360">
        <v>2.877239130434783E-2</v>
      </c>
      <c r="D30" s="360">
        <v>7.4672155328888476E-2</v>
      </c>
      <c r="E30" s="360">
        <v>0.110846132849151</v>
      </c>
      <c r="F30" s="360">
        <v>0.1984947191787583</v>
      </c>
      <c r="G30" s="361">
        <v>0.85821110049667171</v>
      </c>
      <c r="H30" s="361">
        <v>0.88526715421533009</v>
      </c>
      <c r="I30" s="360">
        <v>5.1084609678963583E-2</v>
      </c>
      <c r="J30" s="360">
        <v>0.4386506757631673</v>
      </c>
      <c r="K30" s="360">
        <v>2.9980000000000003E-2</v>
      </c>
      <c r="L30" s="360">
        <v>0.11881317128022098</v>
      </c>
      <c r="M30" s="360">
        <v>4.7615358978129796E-2</v>
      </c>
      <c r="N30" s="361">
        <v>1.489769744874309</v>
      </c>
      <c r="O30" s="361">
        <v>2.543668038136409</v>
      </c>
      <c r="P30" s="361">
        <v>17.517836254129978</v>
      </c>
      <c r="Q30" s="361">
        <v>32.120767125385541</v>
      </c>
      <c r="R30" s="361">
        <v>4.1410843961229471</v>
      </c>
      <c r="S30" s="361">
        <v>69.761936850042233</v>
      </c>
      <c r="T30" s="360">
        <v>0.20515099903601541</v>
      </c>
      <c r="U30" s="360">
        <v>4.1946689777722007E-2</v>
      </c>
      <c r="V30" s="360">
        <v>4.2450641137758337E-2</v>
      </c>
      <c r="W30" s="360">
        <v>0.59964477003714067</v>
      </c>
      <c r="X30" s="360">
        <v>6.6685203729739476E-2</v>
      </c>
      <c r="Y30" s="360">
        <v>0.41480411923496258</v>
      </c>
      <c r="Z30" s="360">
        <v>0.41480411923496252</v>
      </c>
      <c r="AA30" s="362">
        <v>7.9034727333663221E-2</v>
      </c>
    </row>
    <row r="31" spans="1:27" ht="14">
      <c r="A31" s="359" t="s">
        <v>536</v>
      </c>
      <c r="B31" s="144">
        <v>61</v>
      </c>
      <c r="C31" s="360">
        <v>3.5700344827586217E-2</v>
      </c>
      <c r="D31" s="360">
        <v>4.1032677830106938E-2</v>
      </c>
      <c r="E31" s="360">
        <v>0.1485004333970936</v>
      </c>
      <c r="F31" s="360">
        <v>0.21894983014970723</v>
      </c>
      <c r="G31" s="361">
        <v>0.95563284656456471</v>
      </c>
      <c r="H31" s="361">
        <v>1.0564199824615637</v>
      </c>
      <c r="I31" s="360">
        <v>5.9163023172185802E-2</v>
      </c>
      <c r="J31" s="360">
        <v>0.42042611788262696</v>
      </c>
      <c r="K31" s="360">
        <v>2.9980000000000003E-2</v>
      </c>
      <c r="L31" s="360">
        <v>0.22018691156817488</v>
      </c>
      <c r="M31" s="360">
        <v>5.0954978455299976E-2</v>
      </c>
      <c r="N31" s="361">
        <v>3.7964583274477528</v>
      </c>
      <c r="O31" s="361">
        <v>0.8994726401457801</v>
      </c>
      <c r="P31" s="361">
        <v>10.853099629722484</v>
      </c>
      <c r="Q31" s="361">
        <v>19.795486858818521</v>
      </c>
      <c r="R31" s="361">
        <v>2.3182244883002365</v>
      </c>
      <c r="S31" s="361">
        <v>34.524899609773172</v>
      </c>
      <c r="T31" s="360">
        <v>0.17939383187925939</v>
      </c>
      <c r="U31" s="360">
        <v>1.6956216288295495E-2</v>
      </c>
      <c r="V31" s="360">
        <v>0.10319245357384162</v>
      </c>
      <c r="W31" s="360">
        <v>2.8375145355622444</v>
      </c>
      <c r="X31" s="360">
        <v>2.5369098163714011E-2</v>
      </c>
      <c r="Y31" s="360">
        <v>0.52788236771545494</v>
      </c>
      <c r="Z31" s="360">
        <v>0.52788236771545494</v>
      </c>
      <c r="AA31" s="362">
        <v>4.3132024738578523E-2</v>
      </c>
    </row>
    <row r="32" spans="1:27" ht="14">
      <c r="A32" s="359" t="s">
        <v>537</v>
      </c>
      <c r="B32" s="144">
        <v>118</v>
      </c>
      <c r="C32" s="360">
        <v>6.3537037037037031E-2</v>
      </c>
      <c r="D32" s="360">
        <v>7.4408004832812916E-2</v>
      </c>
      <c r="E32" s="360">
        <v>7.9645785959073262E-2</v>
      </c>
      <c r="F32" s="360">
        <v>6.7312790687964988E-2</v>
      </c>
      <c r="G32" s="361">
        <v>0.83875643049493109</v>
      </c>
      <c r="H32" s="361">
        <v>0.88281719019109328</v>
      </c>
      <c r="I32" s="360">
        <v>5.0968971377019598E-2</v>
      </c>
      <c r="J32" s="360">
        <v>0.68062179370134024</v>
      </c>
      <c r="K32" s="360">
        <v>4.0925000000000003E-2</v>
      </c>
      <c r="L32" s="360">
        <v>0.13191242879076623</v>
      </c>
      <c r="M32" s="360">
        <v>4.8186447357941233E-2</v>
      </c>
      <c r="N32" s="361">
        <v>1.0663038710804666</v>
      </c>
      <c r="O32" s="361">
        <v>6.8089956450789391</v>
      </c>
      <c r="P32" s="361">
        <v>36.256779848569074</v>
      </c>
      <c r="Q32" s="361">
        <v>89.241474916291409</v>
      </c>
      <c r="R32" s="361">
        <v>5.4891215971609117</v>
      </c>
      <c r="S32" s="361">
        <v>1157.1319525274689</v>
      </c>
      <c r="T32" s="360">
        <v>6.5129868598529442E-3</v>
      </c>
      <c r="U32" s="360">
        <v>5.181286318160206E-2</v>
      </c>
      <c r="V32" s="360">
        <v>2.8005982797696055E-3</v>
      </c>
      <c r="W32" s="360">
        <v>0.16681230416370763</v>
      </c>
      <c r="X32" s="360">
        <v>-2.8668030644176556E-2</v>
      </c>
      <c r="Y32" s="360">
        <v>1.1191861766307E-3</v>
      </c>
      <c r="Z32" s="360">
        <v>1.1191861766306488E-3</v>
      </c>
      <c r="AA32" s="362">
        <v>7.5062395215220443E-2</v>
      </c>
    </row>
    <row r="33" spans="1:27" ht="14">
      <c r="A33" s="359" t="s">
        <v>538</v>
      </c>
      <c r="B33" s="144">
        <v>86</v>
      </c>
      <c r="C33" s="360">
        <v>7.8791724137931035E-2</v>
      </c>
      <c r="D33" s="360">
        <v>0.11917242531350217</v>
      </c>
      <c r="E33" s="360">
        <v>0.19189575392252223</v>
      </c>
      <c r="F33" s="360">
        <v>0.20676852622066183</v>
      </c>
      <c r="G33" s="361">
        <v>0.82193535916621874</v>
      </c>
      <c r="H33" s="361">
        <v>0.95440765499167046</v>
      </c>
      <c r="I33" s="360">
        <v>5.4348041315606846E-2</v>
      </c>
      <c r="J33" s="360">
        <v>0.50430758359572492</v>
      </c>
      <c r="K33" s="360">
        <v>2.9980000000000003E-2</v>
      </c>
      <c r="L33" s="360">
        <v>0.20126685325298424</v>
      </c>
      <c r="M33" s="360">
        <v>4.7814387649734336E-2</v>
      </c>
      <c r="N33" s="361">
        <v>1.6302770377529443</v>
      </c>
      <c r="O33" s="361">
        <v>3.3408368969906879</v>
      </c>
      <c r="P33" s="361">
        <v>14.978449052948609</v>
      </c>
      <c r="Q33" s="361">
        <v>27.418717580911146</v>
      </c>
      <c r="R33" s="361">
        <v>4.6807605995708288</v>
      </c>
      <c r="S33" s="361">
        <v>549.57907903689807</v>
      </c>
      <c r="T33" s="360">
        <v>9.5560302887164134E-2</v>
      </c>
      <c r="U33" s="360">
        <v>7.48874492373683E-2</v>
      </c>
      <c r="V33" s="360">
        <v>2.8259328543857452E-2</v>
      </c>
      <c r="W33" s="360">
        <v>0.22495391418471472</v>
      </c>
      <c r="X33" s="360">
        <v>6.2101792861545151E-2</v>
      </c>
      <c r="Y33" s="360">
        <v>0.94762650024469008</v>
      </c>
      <c r="Z33" s="360">
        <v>0.94762650024469008</v>
      </c>
      <c r="AA33" s="362">
        <v>0.1209624712478881</v>
      </c>
    </row>
    <row r="34" spans="1:27" ht="14">
      <c r="A34" s="359" t="s">
        <v>539</v>
      </c>
      <c r="B34" s="144">
        <v>32</v>
      </c>
      <c r="C34" s="360">
        <v>-7.6993749999999979E-3</v>
      </c>
      <c r="D34" s="360">
        <v>6.5548663442282051E-2</v>
      </c>
      <c r="E34" s="360">
        <v>9.1245793649661344E-2</v>
      </c>
      <c r="F34" s="360">
        <v>0.21868498381957277</v>
      </c>
      <c r="G34" s="361">
        <v>0.68611154551813824</v>
      </c>
      <c r="H34" s="361">
        <v>0.87469922843497838</v>
      </c>
      <c r="I34" s="360">
        <v>5.0585803582130981E-2</v>
      </c>
      <c r="J34" s="360">
        <v>0.45299255806954924</v>
      </c>
      <c r="K34" s="360">
        <v>2.9980000000000003E-2</v>
      </c>
      <c r="L34" s="360">
        <v>0.31060108451740698</v>
      </c>
      <c r="M34" s="360">
        <v>4.1671427103433828E-2</v>
      </c>
      <c r="N34" s="361">
        <v>1.4758582162441996</v>
      </c>
      <c r="O34" s="361">
        <v>1.3516162158425524</v>
      </c>
      <c r="P34" s="361">
        <v>14.707892115448548</v>
      </c>
      <c r="Q34" s="361">
        <v>20.129193995151144</v>
      </c>
      <c r="R34" s="361">
        <v>3.2090475248642476</v>
      </c>
      <c r="S34" s="361">
        <v>23.819322781968737</v>
      </c>
      <c r="T34" s="360">
        <v>0.12999619715447139</v>
      </c>
      <c r="U34" s="360">
        <v>3.061530342509149E-2</v>
      </c>
      <c r="V34" s="360">
        <v>1.3450482592225456E-2</v>
      </c>
      <c r="W34" s="360">
        <v>0.38726473158402225</v>
      </c>
      <c r="X34" s="360">
        <v>0.14029208346160055</v>
      </c>
      <c r="Y34" s="360">
        <v>0.38932196061718255</v>
      </c>
      <c r="Z34" s="360">
        <v>0.38932196061718249</v>
      </c>
      <c r="AA34" s="362">
        <v>6.6131735681281056E-2</v>
      </c>
    </row>
    <row r="35" spans="1:27" ht="14">
      <c r="A35" s="359" t="s">
        <v>540</v>
      </c>
      <c r="B35" s="144">
        <v>235</v>
      </c>
      <c r="C35" s="360">
        <v>9.0827816901408467E-2</v>
      </c>
      <c r="D35" s="360">
        <v>0.12316551032467732</v>
      </c>
      <c r="E35" s="360">
        <v>3.9869987166348706E-3</v>
      </c>
      <c r="F35" s="360">
        <v>0.19212738756584311</v>
      </c>
      <c r="G35" s="361">
        <v>0.10910525070369609</v>
      </c>
      <c r="H35" s="361">
        <v>0.79710071959928419</v>
      </c>
      <c r="I35" s="360">
        <v>4.6923153965086215E-2</v>
      </c>
      <c r="J35" s="360">
        <v>0.27738631258663876</v>
      </c>
      <c r="K35" s="360">
        <v>2.58E-2</v>
      </c>
      <c r="L35" s="360">
        <v>0.89958710971303479</v>
      </c>
      <c r="M35" s="360">
        <v>2.1654513135349877E-2</v>
      </c>
      <c r="N35" s="361">
        <v>3.7411045708674089E-2</v>
      </c>
      <c r="O35" s="361">
        <v>31.486334617180493</v>
      </c>
      <c r="P35" s="361" t="s">
        <v>98</v>
      </c>
      <c r="Q35" s="361" t="s">
        <v>98</v>
      </c>
      <c r="R35" s="361">
        <v>2.2299287385592383</v>
      </c>
      <c r="S35" s="361">
        <v>21.864515213007955</v>
      </c>
      <c r="T35" s="360" t="s">
        <v>98</v>
      </c>
      <c r="U35" s="360">
        <v>6.9906759816409939E-2</v>
      </c>
      <c r="V35" s="360">
        <v>0.1319795854325862</v>
      </c>
      <c r="W35" s="360">
        <v>1.2262482887311255</v>
      </c>
      <c r="X35" s="360">
        <v>0.64282516706430437</v>
      </c>
      <c r="Y35" s="360">
        <v>0.23859654799119204</v>
      </c>
      <c r="Z35" s="360">
        <v>0.23859654799119201</v>
      </c>
      <c r="AA35" s="362">
        <v>0.12232122312899665</v>
      </c>
    </row>
    <row r="36" spans="1:27" ht="14">
      <c r="A36" s="359" t="s">
        <v>541</v>
      </c>
      <c r="B36" s="144">
        <v>101</v>
      </c>
      <c r="C36" s="360">
        <v>6.8488409090909086E-2</v>
      </c>
      <c r="D36" s="360">
        <v>0.12798853836919141</v>
      </c>
      <c r="E36" s="360">
        <v>0.1753093853314738</v>
      </c>
      <c r="F36" s="360">
        <v>0.25020090078666379</v>
      </c>
      <c r="G36" s="361">
        <v>0.53211742817812102</v>
      </c>
      <c r="H36" s="361">
        <v>0.6363265081541909</v>
      </c>
      <c r="I36" s="360">
        <v>3.9334611184877813E-2</v>
      </c>
      <c r="J36" s="360">
        <v>0.3255716456670335</v>
      </c>
      <c r="K36" s="360">
        <v>2.58E-2</v>
      </c>
      <c r="L36" s="360">
        <v>0.24819053775449415</v>
      </c>
      <c r="M36" s="360">
        <v>3.4246553470607191E-2</v>
      </c>
      <c r="N36" s="361">
        <v>1.4801162017099179</v>
      </c>
      <c r="O36" s="361">
        <v>2.1935894352175414</v>
      </c>
      <c r="P36" s="361">
        <v>12.883089542134233</v>
      </c>
      <c r="Q36" s="361">
        <v>16.826468443447887</v>
      </c>
      <c r="R36" s="361">
        <v>2.5667103507314697</v>
      </c>
      <c r="S36" s="361">
        <v>375.19491831868447</v>
      </c>
      <c r="T36" s="360">
        <v>5.2654172141950666E-2</v>
      </c>
      <c r="U36" s="360">
        <v>3.2130357552498268E-2</v>
      </c>
      <c r="V36" s="360">
        <v>2.0938027507652963E-2</v>
      </c>
      <c r="W36" s="360">
        <v>0.15123913232404507</v>
      </c>
      <c r="X36" s="360">
        <v>0.10117860572097045</v>
      </c>
      <c r="Y36" s="360">
        <v>0.60976298364337567</v>
      </c>
      <c r="Z36" s="360">
        <v>0.60976298364337567</v>
      </c>
      <c r="AA36" s="362">
        <v>0.12952805629721381</v>
      </c>
    </row>
    <row r="37" spans="1:27" ht="14">
      <c r="A37" s="359" t="s">
        <v>542</v>
      </c>
      <c r="B37" s="144">
        <v>18</v>
      </c>
      <c r="C37" s="360">
        <v>0.12012500000000001</v>
      </c>
      <c r="D37" s="360">
        <v>1.558491306059144E-2</v>
      </c>
      <c r="E37" s="360">
        <v>8.8859977506408852E-2</v>
      </c>
      <c r="F37" s="360">
        <v>3.8720173535791755E-2</v>
      </c>
      <c r="G37" s="361">
        <v>0.80667619598703388</v>
      </c>
      <c r="H37" s="361">
        <v>1.0346238620519972</v>
      </c>
      <c r="I37" s="360">
        <v>5.813424628885426E-2</v>
      </c>
      <c r="J37" s="360">
        <v>0.5803291952709172</v>
      </c>
      <c r="K37" s="360">
        <v>2.9980000000000003E-2</v>
      </c>
      <c r="L37" s="360">
        <v>0.35904724559597062</v>
      </c>
      <c r="M37" s="360">
        <v>4.5119197872809422E-2</v>
      </c>
      <c r="N37" s="361">
        <v>5.8166003876343453</v>
      </c>
      <c r="O37" s="361">
        <v>0.5436161544559327</v>
      </c>
      <c r="P37" s="361">
        <v>15.871954547377648</v>
      </c>
      <c r="Q37" s="361">
        <v>35.361015975894979</v>
      </c>
      <c r="R37" s="361">
        <v>5.0174107862980541</v>
      </c>
      <c r="S37" s="361">
        <v>8.6352957442395955</v>
      </c>
      <c r="T37" s="360">
        <v>5.3816094593914572E-2</v>
      </c>
      <c r="U37" s="360">
        <v>1.0154823902139759E-2</v>
      </c>
      <c r="V37" s="360">
        <v>2.6125454156993962E-2</v>
      </c>
      <c r="W37" s="360">
        <v>0.87555724326690676</v>
      </c>
      <c r="X37" s="360">
        <v>-5.025675254223573E-2</v>
      </c>
      <c r="Y37" s="360">
        <v>1.9942196531791911E-3</v>
      </c>
      <c r="Z37" s="360">
        <v>1.9942196531791412E-3</v>
      </c>
      <c r="AA37" s="362">
        <v>1.5356701695384856E-2</v>
      </c>
    </row>
    <row r="38" spans="1:27" ht="14">
      <c r="A38" s="359" t="s">
        <v>543</v>
      </c>
      <c r="B38" s="144">
        <v>40</v>
      </c>
      <c r="C38" s="360">
        <v>5.0844444444444435E-2</v>
      </c>
      <c r="D38" s="360">
        <v>7.979264517520307E-2</v>
      </c>
      <c r="E38" s="360">
        <v>0.14594063278054276</v>
      </c>
      <c r="F38" s="360">
        <v>0.18916536786093302</v>
      </c>
      <c r="G38" s="361">
        <v>0.77948831469856228</v>
      </c>
      <c r="H38" s="361">
        <v>0.88324544941408023</v>
      </c>
      <c r="I38" s="360">
        <v>5.0989185212344579E-2</v>
      </c>
      <c r="J38" s="360">
        <v>0.40522934887538109</v>
      </c>
      <c r="K38" s="360">
        <v>2.9980000000000003E-2</v>
      </c>
      <c r="L38" s="360">
        <v>0.25405817332696667</v>
      </c>
      <c r="M38" s="360">
        <v>4.3595130704395933E-2</v>
      </c>
      <c r="N38" s="361">
        <v>1.8787110788695169</v>
      </c>
      <c r="O38" s="361">
        <v>1.3108448970847419</v>
      </c>
      <c r="P38" s="361">
        <v>9.7334239178307449</v>
      </c>
      <c r="Q38" s="361">
        <v>15.816425327036262</v>
      </c>
      <c r="R38" s="361">
        <v>2.6811847780363887</v>
      </c>
      <c r="S38" s="361">
        <v>125.49843153837293</v>
      </c>
      <c r="T38" s="360">
        <v>0.10604425927478943</v>
      </c>
      <c r="U38" s="360">
        <v>2.742211302108916E-2</v>
      </c>
      <c r="V38" s="360">
        <v>1.3722507350154173E-2</v>
      </c>
      <c r="W38" s="360">
        <v>-0.26831598396128398</v>
      </c>
      <c r="X38" s="360">
        <v>0.13370153727916076</v>
      </c>
      <c r="Y38" s="360">
        <v>0.27174160213987486</v>
      </c>
      <c r="Z38" s="360">
        <v>0.27174160213987486</v>
      </c>
      <c r="AA38" s="362">
        <v>8.1582139405610127E-2</v>
      </c>
    </row>
    <row r="39" spans="1:27" ht="14">
      <c r="A39" s="359" t="s">
        <v>544</v>
      </c>
      <c r="B39" s="144">
        <v>25</v>
      </c>
      <c r="C39" s="360">
        <v>-8.9999999999999857E-4</v>
      </c>
      <c r="D39" s="360">
        <v>0.26119284560598877</v>
      </c>
      <c r="E39" s="360">
        <v>6.8933571736379956E-2</v>
      </c>
      <c r="F39" s="360">
        <v>0.43034281546316561</v>
      </c>
      <c r="G39" s="361">
        <v>0.67876371521982259</v>
      </c>
      <c r="H39" s="361">
        <v>0.9818502419420978</v>
      </c>
      <c r="I39" s="360">
        <v>5.5643331419667014E-2</v>
      </c>
      <c r="J39" s="360">
        <v>0.56041695704895178</v>
      </c>
      <c r="K39" s="360">
        <v>2.9980000000000003E-2</v>
      </c>
      <c r="L39" s="360">
        <v>0.39047333707738796</v>
      </c>
      <c r="M39" s="360">
        <v>4.2461759285400032E-2</v>
      </c>
      <c r="N39" s="361">
        <v>0.27102832816880995</v>
      </c>
      <c r="O39" s="361">
        <v>13.152748324967906</v>
      </c>
      <c r="P39" s="361">
        <v>22.940439620941806</v>
      </c>
      <c r="Q39" s="361">
        <v>50.762789375211959</v>
      </c>
      <c r="R39" s="361">
        <v>1.6801621931847164</v>
      </c>
      <c r="S39" s="361">
        <v>40.672598073760867</v>
      </c>
      <c r="T39" s="360">
        <v>-1.5824581888131781</v>
      </c>
      <c r="U39" s="360">
        <v>0.35687149238535748</v>
      </c>
      <c r="V39" s="360">
        <v>0.25819803394004409</v>
      </c>
      <c r="W39" s="360">
        <v>1.1011353779451551</v>
      </c>
      <c r="X39" s="360">
        <v>-0.20588897193795236</v>
      </c>
      <c r="Y39" s="360">
        <v>1.453488372093023E-3</v>
      </c>
      <c r="Z39" s="360">
        <v>1.4534883720930258E-3</v>
      </c>
      <c r="AA39" s="362">
        <v>0.25882529218209455</v>
      </c>
    </row>
    <row r="40" spans="1:27" ht="14">
      <c r="A40" s="359" t="s">
        <v>545</v>
      </c>
      <c r="B40" s="144">
        <v>265</v>
      </c>
      <c r="C40" s="360">
        <v>0.13900056338028169</v>
      </c>
      <c r="D40" s="360">
        <v>0.14236329164930261</v>
      </c>
      <c r="E40" s="360">
        <v>0.13218413823554159</v>
      </c>
      <c r="F40" s="360">
        <v>0.13641522537328338</v>
      </c>
      <c r="G40" s="361">
        <v>0.80089242347798939</v>
      </c>
      <c r="H40" s="361">
        <v>0.83358408244891102</v>
      </c>
      <c r="I40" s="360">
        <v>4.8645168691588594E-2</v>
      </c>
      <c r="J40" s="360">
        <v>0.46189459888088252</v>
      </c>
      <c r="K40" s="360">
        <v>2.9980000000000003E-2</v>
      </c>
      <c r="L40" s="360">
        <v>9.655711279842244E-2</v>
      </c>
      <c r="M40" s="360">
        <v>4.6061322687575186E-2</v>
      </c>
      <c r="N40" s="361">
        <v>0.96317689846106402</v>
      </c>
      <c r="O40" s="361">
        <v>7.418860964552465</v>
      </c>
      <c r="P40" s="361">
        <v>28.528876115334604</v>
      </c>
      <c r="Q40" s="361">
        <v>49.24884508873965</v>
      </c>
      <c r="R40" s="361">
        <v>5.7745428887631487</v>
      </c>
      <c r="S40" s="361">
        <v>317.981478965745</v>
      </c>
      <c r="T40" s="360">
        <v>0.25162848288718354</v>
      </c>
      <c r="U40" s="360">
        <v>5.1531954255945193E-2</v>
      </c>
      <c r="V40" s="360">
        <v>0.11832959057934007</v>
      </c>
      <c r="W40" s="360">
        <v>1.1346429444683592</v>
      </c>
      <c r="X40" s="360">
        <v>0.10549129143429795</v>
      </c>
      <c r="Y40" s="360">
        <v>0.30107203248356434</v>
      </c>
      <c r="Z40" s="360">
        <v>0.30107203248356429</v>
      </c>
      <c r="AA40" s="362">
        <v>0.1409061346196625</v>
      </c>
    </row>
    <row r="41" spans="1:27" ht="14">
      <c r="A41" s="359" t="s">
        <v>546</v>
      </c>
      <c r="B41" s="144">
        <v>129</v>
      </c>
      <c r="C41" s="360">
        <v>0.17543859649122812</v>
      </c>
      <c r="D41" s="360">
        <v>4.9688801625222462E-2</v>
      </c>
      <c r="E41" s="360">
        <v>0.35271782449764638</v>
      </c>
      <c r="F41" s="360">
        <v>0.24053692123715872</v>
      </c>
      <c r="G41" s="361">
        <v>0.73880824525715116</v>
      </c>
      <c r="H41" s="361">
        <v>0.85077449325239163</v>
      </c>
      <c r="I41" s="360">
        <v>4.9456556081512879E-2</v>
      </c>
      <c r="J41" s="360">
        <v>0.44491607317893028</v>
      </c>
      <c r="K41" s="360">
        <v>2.9980000000000003E-2</v>
      </c>
      <c r="L41" s="360">
        <v>0.24072345229636458</v>
      </c>
      <c r="M41" s="360">
        <v>4.2819532205769187E-2</v>
      </c>
      <c r="N41" s="361">
        <v>7.7154340602445259</v>
      </c>
      <c r="O41" s="361">
        <v>0.6820844203953057</v>
      </c>
      <c r="P41" s="361">
        <v>10.360969964204955</v>
      </c>
      <c r="Q41" s="361">
        <v>13.628443805969216</v>
      </c>
      <c r="R41" s="361">
        <v>2.9088731888525392</v>
      </c>
      <c r="S41" s="361">
        <v>104.17605537136028</v>
      </c>
      <c r="T41" s="360">
        <v>-5.3313038545293082E-2</v>
      </c>
      <c r="U41" s="360">
        <v>7.4091754981954394E-3</v>
      </c>
      <c r="V41" s="360">
        <v>6.8462345197443271E-3</v>
      </c>
      <c r="W41" s="360">
        <v>0.19571731702201534</v>
      </c>
      <c r="X41" s="360">
        <v>0.16598318123555375</v>
      </c>
      <c r="Y41" s="360">
        <v>0.25627274193952404</v>
      </c>
      <c r="Z41" s="360">
        <v>0.2562727419395241</v>
      </c>
      <c r="AA41" s="362">
        <v>4.8447724090470837E-2</v>
      </c>
    </row>
    <row r="42" spans="1:27" ht="14">
      <c r="A42" s="359" t="s">
        <v>547</v>
      </c>
      <c r="B42" s="144">
        <v>139</v>
      </c>
      <c r="C42" s="360">
        <v>0.15023892857142859</v>
      </c>
      <c r="D42" s="360">
        <v>0.13140034808253312</v>
      </c>
      <c r="E42" s="360">
        <v>0.16352219103562232</v>
      </c>
      <c r="F42" s="360">
        <v>0.1642744803976314</v>
      </c>
      <c r="G42" s="361">
        <v>0.75350441182112227</v>
      </c>
      <c r="H42" s="361">
        <v>0.79090289078720777</v>
      </c>
      <c r="I42" s="360">
        <v>4.6630616445156203E-2</v>
      </c>
      <c r="J42" s="360">
        <v>0.42448602624975351</v>
      </c>
      <c r="K42" s="360">
        <v>2.9980000000000003E-2</v>
      </c>
      <c r="L42" s="360">
        <v>0.10793771659912331</v>
      </c>
      <c r="M42" s="360">
        <v>4.395967428531497E-2</v>
      </c>
      <c r="N42" s="361">
        <v>1.2445291896621029</v>
      </c>
      <c r="O42" s="361">
        <v>7.3338745856522403</v>
      </c>
      <c r="P42" s="361">
        <v>29.316679172039294</v>
      </c>
      <c r="Q42" s="361">
        <v>50.487687969802643</v>
      </c>
      <c r="R42" s="361">
        <v>7.1196573878921594</v>
      </c>
      <c r="S42" s="361">
        <v>162.96068906351726</v>
      </c>
      <c r="T42" s="360">
        <v>0.230695661728999</v>
      </c>
      <c r="U42" s="360">
        <v>3.8241608977835448E-2</v>
      </c>
      <c r="V42" s="360">
        <v>7.2469223761760222E-4</v>
      </c>
      <c r="W42" s="360">
        <v>0.10283228731258889</v>
      </c>
      <c r="X42" s="360">
        <v>0.14110113703375673</v>
      </c>
      <c r="Y42" s="360">
        <v>0.1055403844498929</v>
      </c>
      <c r="Z42" s="360">
        <v>0.10554038444989289</v>
      </c>
      <c r="AA42" s="362">
        <v>0.13688108658432346</v>
      </c>
    </row>
    <row r="43" spans="1:27" ht="14">
      <c r="A43" s="359" t="s">
        <v>548</v>
      </c>
      <c r="B43" s="144">
        <v>30</v>
      </c>
      <c r="C43" s="360">
        <v>0.13522173913043478</v>
      </c>
      <c r="D43" s="360">
        <v>0.11811793417275933</v>
      </c>
      <c r="E43" s="360">
        <v>0.13576565262352838</v>
      </c>
      <c r="F43" s="360">
        <v>0.20304351746354421</v>
      </c>
      <c r="G43" s="361">
        <v>1.3290311296483035</v>
      </c>
      <c r="H43" s="361">
        <v>1.4589538372780313</v>
      </c>
      <c r="I43" s="360">
        <v>7.8162621119523074E-2</v>
      </c>
      <c r="J43" s="360">
        <v>0.36557254084354074</v>
      </c>
      <c r="K43" s="360">
        <v>2.58E-2</v>
      </c>
      <c r="L43" s="360">
        <v>0.24657713832421019</v>
      </c>
      <c r="M43" s="360">
        <v>6.3533539503149772E-2</v>
      </c>
      <c r="N43" s="361">
        <v>1.3657613592279838</v>
      </c>
      <c r="O43" s="361">
        <v>1.2091954271235921</v>
      </c>
      <c r="P43" s="361">
        <v>9.5449309888112772</v>
      </c>
      <c r="Q43" s="361">
        <v>10.22676909904947</v>
      </c>
      <c r="R43" s="361">
        <v>1.7506787743934999</v>
      </c>
      <c r="S43" s="361">
        <v>17.342111719652049</v>
      </c>
      <c r="T43" s="360">
        <v>0.66096367499042219</v>
      </c>
      <c r="U43" s="360">
        <v>7.353378642970425E-3</v>
      </c>
      <c r="V43" s="360">
        <v>6.3110106495485605E-3</v>
      </c>
      <c r="W43" s="360">
        <v>-0.10147826243566957</v>
      </c>
      <c r="X43" s="360">
        <v>0.17701980078050125</v>
      </c>
      <c r="Y43" s="360">
        <v>7.582219186699346E-2</v>
      </c>
      <c r="Z43" s="360">
        <v>7.582219186699346E-2</v>
      </c>
      <c r="AA43" s="362">
        <v>0.11820899341778766</v>
      </c>
    </row>
    <row r="44" spans="1:27" ht="14">
      <c r="A44" s="359" t="s">
        <v>549</v>
      </c>
      <c r="B44" s="144">
        <v>32</v>
      </c>
      <c r="C44" s="360">
        <v>4.236545454545456E-2</v>
      </c>
      <c r="D44" s="360">
        <v>0.10195066535222672</v>
      </c>
      <c r="E44" s="360">
        <v>0.13175970132459572</v>
      </c>
      <c r="F44" s="360">
        <v>0.20315425364650111</v>
      </c>
      <c r="G44" s="361">
        <v>0.80772483291603048</v>
      </c>
      <c r="H44" s="361">
        <v>1.2831022322021963</v>
      </c>
      <c r="I44" s="360">
        <v>6.9862425359943664E-2</v>
      </c>
      <c r="J44" s="360">
        <v>0.49211448705692795</v>
      </c>
      <c r="K44" s="360">
        <v>2.9980000000000003E-2</v>
      </c>
      <c r="L44" s="360">
        <v>0.49850202834771307</v>
      </c>
      <c r="M44" s="360">
        <v>4.5945780903922082E-2</v>
      </c>
      <c r="N44" s="361">
        <v>1.512408642599691</v>
      </c>
      <c r="O44" s="361">
        <v>1.5355178116126029</v>
      </c>
      <c r="P44" s="361">
        <v>8.9654632470681257</v>
      </c>
      <c r="Q44" s="361">
        <v>16.183161799511307</v>
      </c>
      <c r="R44" s="361">
        <v>5.7799017828730657</v>
      </c>
      <c r="S44" s="361">
        <v>44.606702222356631</v>
      </c>
      <c r="T44" s="360">
        <v>3.3726271206131413E-2</v>
      </c>
      <c r="U44" s="360">
        <v>5.9186574124785472E-2</v>
      </c>
      <c r="V44" s="360">
        <v>1.3927684229044475E-2</v>
      </c>
      <c r="W44" s="360">
        <v>-0.26096085143205294</v>
      </c>
      <c r="X44" s="360">
        <v>0.70638537766592602</v>
      </c>
      <c r="Y44" s="360">
        <v>0.10911348102850074</v>
      </c>
      <c r="Z44" s="360">
        <v>0.10911348102850071</v>
      </c>
      <c r="AA44" s="362">
        <v>9.4857837622379176E-2</v>
      </c>
    </row>
    <row r="45" spans="1:27" ht="14">
      <c r="A45" s="359" t="s">
        <v>550</v>
      </c>
      <c r="B45" s="144">
        <v>66</v>
      </c>
      <c r="C45" s="360">
        <v>-3.7959459459459503E-3</v>
      </c>
      <c r="D45" s="360">
        <v>-0.10338054015318786</v>
      </c>
      <c r="E45" s="360">
        <v>-5.2366069049734905E-2</v>
      </c>
      <c r="F45" s="360">
        <v>0.23340422307242401</v>
      </c>
      <c r="G45" s="361">
        <v>1.1898252960272824</v>
      </c>
      <c r="H45" s="361">
        <v>1.56468392285972</v>
      </c>
      <c r="I45" s="360">
        <v>8.3153081158978792E-2</v>
      </c>
      <c r="J45" s="360">
        <v>0.43694205263736113</v>
      </c>
      <c r="K45" s="360">
        <v>2.9980000000000003E-2</v>
      </c>
      <c r="L45" s="360">
        <v>0.36401274176782844</v>
      </c>
      <c r="M45" s="360">
        <v>6.0850864558541794E-2</v>
      </c>
      <c r="N45" s="361">
        <v>0.38180384510981952</v>
      </c>
      <c r="O45" s="361">
        <v>8.0782571525859517</v>
      </c>
      <c r="P45" s="361">
        <v>38.324760402618416</v>
      </c>
      <c r="Q45" s="361" t="s">
        <v>98</v>
      </c>
      <c r="R45" s="361">
        <v>6.0965739315898846</v>
      </c>
      <c r="S45" s="361">
        <v>64.17173094138856</v>
      </c>
      <c r="T45" s="360">
        <v>0.15669943941554873</v>
      </c>
      <c r="U45" s="360">
        <v>0.18514010951751525</v>
      </c>
      <c r="V45" s="360">
        <v>0.12996342799426844</v>
      </c>
      <c r="W45" s="360" t="s">
        <v>98</v>
      </c>
      <c r="X45" s="360">
        <v>-0.30404227686734225</v>
      </c>
      <c r="Y45" s="360">
        <v>5.0076364269329519E-3</v>
      </c>
      <c r="Z45" s="360">
        <v>5.0076364269329154E-3</v>
      </c>
      <c r="AA45" s="362">
        <v>-0.14013203795027143</v>
      </c>
    </row>
    <row r="46" spans="1:27" ht="14">
      <c r="A46" s="359" t="s">
        <v>551</v>
      </c>
      <c r="B46" s="144">
        <v>140</v>
      </c>
      <c r="C46" s="360">
        <v>0.14176819999999998</v>
      </c>
      <c r="D46" s="360">
        <v>0.1819667744413215</v>
      </c>
      <c r="E46" s="360">
        <v>0.34990818070240404</v>
      </c>
      <c r="F46" s="360">
        <v>0.20236892874956461</v>
      </c>
      <c r="G46" s="361">
        <v>0.68378487197747861</v>
      </c>
      <c r="H46" s="361">
        <v>0.73000422582003843</v>
      </c>
      <c r="I46" s="360">
        <v>4.3756199458705819E-2</v>
      </c>
      <c r="J46" s="360">
        <v>0.54656682653316824</v>
      </c>
      <c r="K46" s="360">
        <v>2.9980000000000003E-2</v>
      </c>
      <c r="L46" s="360">
        <v>0.12928508929149829</v>
      </c>
      <c r="M46" s="360">
        <v>4.0928631197810587E-2</v>
      </c>
      <c r="N46" s="361">
        <v>2.0170317660192372</v>
      </c>
      <c r="O46" s="361">
        <v>4.0934208573020419</v>
      </c>
      <c r="P46" s="361">
        <v>17.59977177709689</v>
      </c>
      <c r="Q46" s="361">
        <v>22.326919748346679</v>
      </c>
      <c r="R46" s="361">
        <v>9.0587700371026969</v>
      </c>
      <c r="S46" s="361">
        <v>36.292003801021629</v>
      </c>
      <c r="T46" s="360">
        <v>8.8529602869233059E-2</v>
      </c>
      <c r="U46" s="360">
        <v>3.6469456611976016E-2</v>
      </c>
      <c r="V46" s="360">
        <v>1.2704344447733367E-2</v>
      </c>
      <c r="W46" s="360">
        <v>-2.5748375486340506E-2</v>
      </c>
      <c r="X46" s="360">
        <v>0.31596573813617485</v>
      </c>
      <c r="Y46" s="360">
        <v>0.60852670845503798</v>
      </c>
      <c r="Z46" s="360">
        <v>0.60852670845503798</v>
      </c>
      <c r="AA46" s="362">
        <v>0.1827156850383734</v>
      </c>
    </row>
    <row r="47" spans="1:27" ht="14">
      <c r="A47" s="359" t="s">
        <v>552</v>
      </c>
      <c r="B47" s="144">
        <v>77</v>
      </c>
      <c r="C47" s="360">
        <v>0.12192054054054054</v>
      </c>
      <c r="D47" s="360">
        <v>0.2339520762233811</v>
      </c>
      <c r="E47" s="360">
        <v>0.24335217141940213</v>
      </c>
      <c r="F47" s="360">
        <v>0.2034638500005031</v>
      </c>
      <c r="G47" s="361">
        <v>0.97461912701503428</v>
      </c>
      <c r="H47" s="361">
        <v>1.0099196260149268</v>
      </c>
      <c r="I47" s="360">
        <v>5.6968206347904546E-2</v>
      </c>
      <c r="J47" s="360">
        <v>0.42373343239410072</v>
      </c>
      <c r="K47" s="360">
        <v>2.9980000000000003E-2</v>
      </c>
      <c r="L47" s="360">
        <v>8.5647530715410217E-2</v>
      </c>
      <c r="M47" s="360">
        <v>5.3963450613639601E-2</v>
      </c>
      <c r="N47" s="361">
        <v>1.1415497263439134</v>
      </c>
      <c r="O47" s="361">
        <v>10.543643178813669</v>
      </c>
      <c r="P47" s="361">
        <v>31.702639169289323</v>
      </c>
      <c r="Q47" s="361">
        <v>44.480181369409003</v>
      </c>
      <c r="R47" s="361">
        <v>8.3830585799549358</v>
      </c>
      <c r="S47" s="361">
        <v>71.12999032730562</v>
      </c>
      <c r="T47" s="360">
        <v>6.7903170384186667E-2</v>
      </c>
      <c r="U47" s="360">
        <v>3.0739337558518105E-2</v>
      </c>
      <c r="V47" s="360">
        <v>-1.4683566513378913E-3</v>
      </c>
      <c r="W47" s="360">
        <v>-7.0752736552048848E-2</v>
      </c>
      <c r="X47" s="360">
        <v>0.14346907619602076</v>
      </c>
      <c r="Y47" s="360">
        <v>0.32413898792734774</v>
      </c>
      <c r="Z47" s="360">
        <v>0.32413898792734774</v>
      </c>
      <c r="AA47" s="362">
        <v>0.23610747495742426</v>
      </c>
    </row>
    <row r="48" spans="1:27" ht="14">
      <c r="A48" s="359" t="s">
        <v>553</v>
      </c>
      <c r="B48" s="144">
        <v>21</v>
      </c>
      <c r="C48" s="360">
        <v>5.5122142857142863E-2</v>
      </c>
      <c r="D48" s="360">
        <v>0.12831289999334866</v>
      </c>
      <c r="E48" s="360">
        <v>9.2559511631358157E-2</v>
      </c>
      <c r="F48" s="360">
        <v>0.19299294104911144</v>
      </c>
      <c r="G48" s="361">
        <v>0.55878527528759392</v>
      </c>
      <c r="H48" s="361">
        <v>0.68233757937038952</v>
      </c>
      <c r="I48" s="360">
        <v>4.1506333746282389E-2</v>
      </c>
      <c r="J48" s="360">
        <v>0.30122040517355808</v>
      </c>
      <c r="K48" s="360">
        <v>2.58E-2</v>
      </c>
      <c r="L48" s="360">
        <v>0.28983736652162351</v>
      </c>
      <c r="M48" s="360">
        <v>3.4935044240360563E-2</v>
      </c>
      <c r="N48" s="361">
        <v>0.81938593510370794</v>
      </c>
      <c r="O48" s="361">
        <v>1.9727436127834244</v>
      </c>
      <c r="P48" s="361">
        <v>9.9861166404891897</v>
      </c>
      <c r="Q48" s="361">
        <v>15.008167570981826</v>
      </c>
      <c r="R48" s="361">
        <v>1.4487601146501508</v>
      </c>
      <c r="S48" s="361">
        <v>50.362847538359041</v>
      </c>
      <c r="T48" s="360">
        <v>-0.15439187837672572</v>
      </c>
      <c r="U48" s="360">
        <v>7.7508708741521291E-3</v>
      </c>
      <c r="V48" s="360">
        <v>-3.1650180745330693E-2</v>
      </c>
      <c r="W48" s="360">
        <v>-0.44470666364534434</v>
      </c>
      <c r="X48" s="360">
        <v>1.4880081144398424E-2</v>
      </c>
      <c r="Y48" s="360">
        <v>1.9278781887477539</v>
      </c>
      <c r="Z48" s="360">
        <v>1.9278781887477539</v>
      </c>
      <c r="AA48" s="362">
        <v>0.12922179742688972</v>
      </c>
    </row>
    <row r="49" spans="1:27" ht="14">
      <c r="A49" s="359" t="s">
        <v>554</v>
      </c>
      <c r="B49" s="144">
        <v>26</v>
      </c>
      <c r="C49" s="360">
        <v>3.3450500000000008E-2</v>
      </c>
      <c r="D49" s="360">
        <v>8.4779469920514217E-2</v>
      </c>
      <c r="E49" s="360">
        <v>4.3331979597565747E-2</v>
      </c>
      <c r="F49" s="360">
        <v>0.13003550125681396</v>
      </c>
      <c r="G49" s="361">
        <v>0.64447973202492148</v>
      </c>
      <c r="H49" s="361">
        <v>0.97641663249405386</v>
      </c>
      <c r="I49" s="360">
        <v>5.5386865053719342E-2</v>
      </c>
      <c r="J49" s="360">
        <v>0.30676474675693499</v>
      </c>
      <c r="K49" s="360">
        <v>2.58E-2</v>
      </c>
      <c r="L49" s="360">
        <v>0.54534135652464089</v>
      </c>
      <c r="M49" s="360">
        <v>3.5453076040461898E-2</v>
      </c>
      <c r="N49" s="361">
        <v>0.60209409073925479</v>
      </c>
      <c r="O49" s="361">
        <v>1.3106236214950624</v>
      </c>
      <c r="P49" s="361">
        <v>12.509114846235827</v>
      </c>
      <c r="Q49" s="361">
        <v>15.004458995361144</v>
      </c>
      <c r="R49" s="361">
        <v>0.59088041647907175</v>
      </c>
      <c r="S49" s="361">
        <v>28.985999646276792</v>
      </c>
      <c r="T49" s="360">
        <v>1.346441993151282E-2</v>
      </c>
      <c r="U49" s="360">
        <v>1.6236942865729218E-3</v>
      </c>
      <c r="V49" s="360">
        <v>-3.8606362671102083E-3</v>
      </c>
      <c r="W49" s="360">
        <v>2.6374819123671199E-2</v>
      </c>
      <c r="X49" s="360">
        <v>5.6058035053354431E-2</v>
      </c>
      <c r="Y49" s="360">
        <v>0.37954798472289947</v>
      </c>
      <c r="Z49" s="360">
        <v>0.37954798472289952</v>
      </c>
      <c r="AA49" s="362">
        <v>8.4790241950832165E-2</v>
      </c>
    </row>
    <row r="50" spans="1:27" ht="14">
      <c r="A50" s="359" t="s">
        <v>555</v>
      </c>
      <c r="B50" s="144">
        <v>55</v>
      </c>
      <c r="C50" s="360">
        <v>3.0855111111111107E-2</v>
      </c>
      <c r="D50" s="360">
        <v>0.10847421675224501</v>
      </c>
      <c r="E50" s="360">
        <v>0.10737324263625311</v>
      </c>
      <c r="F50" s="360">
        <v>0.19459729772239065</v>
      </c>
      <c r="G50" s="361">
        <v>0.57819626116653611</v>
      </c>
      <c r="H50" s="361">
        <v>0.64321741983105052</v>
      </c>
      <c r="I50" s="360">
        <v>3.9659862216025583E-2</v>
      </c>
      <c r="J50" s="360">
        <v>0.22934083377302145</v>
      </c>
      <c r="K50" s="360">
        <v>1.9200000000000002E-2</v>
      </c>
      <c r="L50" s="360">
        <v>0.20036030011663622</v>
      </c>
      <c r="M50" s="360">
        <v>3.4521850286273026E-2</v>
      </c>
      <c r="N50" s="361">
        <v>1.1057066018525521</v>
      </c>
      <c r="O50" s="361">
        <v>1.4442166689309721</v>
      </c>
      <c r="P50" s="361">
        <v>9.6858278209457733</v>
      </c>
      <c r="Q50" s="361">
        <v>12.331872133525609</v>
      </c>
      <c r="R50" s="361">
        <v>1.5432468849506851</v>
      </c>
      <c r="S50" s="361">
        <v>22.123312520281296</v>
      </c>
      <c r="T50" s="360">
        <v>-0.52804572696786289</v>
      </c>
      <c r="U50" s="360">
        <v>1.0637588426180641E-2</v>
      </c>
      <c r="V50" s="360">
        <v>3.6507669157428164E-3</v>
      </c>
      <c r="W50" s="360">
        <v>0.1346544089460229</v>
      </c>
      <c r="X50" s="360">
        <v>9.1936527340317986E-2</v>
      </c>
      <c r="Y50" s="360">
        <v>0.38393406234625005</v>
      </c>
      <c r="Z50" s="360">
        <v>0.38393406234625005</v>
      </c>
      <c r="AA50" s="362">
        <v>0.10894128541349707</v>
      </c>
    </row>
    <row r="51" spans="1:27" ht="14">
      <c r="A51" s="359" t="s">
        <v>556</v>
      </c>
      <c r="B51" s="144">
        <v>348</v>
      </c>
      <c r="C51" s="360">
        <v>6.5032203389830453E-3</v>
      </c>
      <c r="D51" s="360">
        <v>0.16949131848115098</v>
      </c>
      <c r="E51" s="360">
        <v>7.2354583164880165E-2</v>
      </c>
      <c r="F51" s="360">
        <v>0.18522401728308402</v>
      </c>
      <c r="G51" s="361">
        <v>0.78493309091986951</v>
      </c>
      <c r="H51" s="361">
        <v>0.92923680777192841</v>
      </c>
      <c r="I51" s="360">
        <v>5.3159977326835015E-2</v>
      </c>
      <c r="J51" s="360">
        <v>0.28854952848131826</v>
      </c>
      <c r="K51" s="360">
        <v>2.58E-2</v>
      </c>
      <c r="L51" s="360">
        <v>0.31139024112355651</v>
      </c>
      <c r="M51" s="360">
        <v>4.2471202970230125E-2</v>
      </c>
      <c r="N51" s="361">
        <v>0.45307081218054784</v>
      </c>
      <c r="O51" s="361">
        <v>5.8715163223657916</v>
      </c>
      <c r="P51" s="361">
        <v>26.171674354963887</v>
      </c>
      <c r="Q51" s="361">
        <v>30.597103347514032</v>
      </c>
      <c r="R51" s="361">
        <v>2.0501554221529452</v>
      </c>
      <c r="S51" s="361">
        <v>625.40619966705265</v>
      </c>
      <c r="T51" s="360" t="s">
        <v>98</v>
      </c>
      <c r="U51" s="360">
        <v>2.9159132551968562E-2</v>
      </c>
      <c r="V51" s="360">
        <v>5.3070408422195771E-2</v>
      </c>
      <c r="W51" s="360">
        <v>0.46227769708784833</v>
      </c>
      <c r="X51" s="360">
        <v>0.12346905522546975</v>
      </c>
      <c r="Y51" s="360">
        <v>0.52696562252946222</v>
      </c>
      <c r="Z51" s="360">
        <v>0.52696562252946222</v>
      </c>
      <c r="AA51" s="362">
        <v>0.16744692784157078</v>
      </c>
    </row>
    <row r="52" spans="1:27" ht="14">
      <c r="A52" s="359" t="s">
        <v>557</v>
      </c>
      <c r="B52" s="144">
        <v>125</v>
      </c>
      <c r="C52" s="360">
        <v>3.43967105263158E-2</v>
      </c>
      <c r="D52" s="360">
        <v>0.13074843709346179</v>
      </c>
      <c r="E52" s="360">
        <v>0.21421867033781458</v>
      </c>
      <c r="F52" s="360">
        <v>0.21031036635138367</v>
      </c>
      <c r="G52" s="361">
        <v>0.95764855095064716</v>
      </c>
      <c r="H52" s="361">
        <v>1.0479358847691829</v>
      </c>
      <c r="I52" s="360">
        <v>5.8762573761105427E-2</v>
      </c>
      <c r="J52" s="360">
        <v>0.34280553440309797</v>
      </c>
      <c r="K52" s="360">
        <v>2.58E-2</v>
      </c>
      <c r="L52" s="360">
        <v>0.16424258943543665</v>
      </c>
      <c r="M52" s="360">
        <v>5.2204601414117639E-2</v>
      </c>
      <c r="N52" s="361">
        <v>1.7786859034556404</v>
      </c>
      <c r="O52" s="361">
        <v>3.0635239041521163</v>
      </c>
      <c r="P52" s="361">
        <v>16.702375922383748</v>
      </c>
      <c r="Q52" s="361">
        <v>23.08223261612077</v>
      </c>
      <c r="R52" s="361">
        <v>4.5467163726401187</v>
      </c>
      <c r="S52" s="361">
        <v>46.086855188000342</v>
      </c>
      <c r="T52" s="360">
        <v>0.23307038550191156</v>
      </c>
      <c r="U52" s="360">
        <v>2.4372114670142813E-2</v>
      </c>
      <c r="V52" s="360">
        <v>3.9940132462024158E-2</v>
      </c>
      <c r="W52" s="360">
        <v>0.20624806560247491</v>
      </c>
      <c r="X52" s="360">
        <v>0.12648074359235931</v>
      </c>
      <c r="Y52" s="360">
        <v>0.45374411409152809</v>
      </c>
      <c r="Z52" s="360">
        <v>0.45374411409152815</v>
      </c>
      <c r="AA52" s="362">
        <v>0.13211554307149764</v>
      </c>
    </row>
    <row r="53" spans="1:27" ht="14">
      <c r="A53" s="359" t="s">
        <v>558</v>
      </c>
      <c r="B53" s="144">
        <v>86</v>
      </c>
      <c r="C53" s="360">
        <v>4.0199166666666668E-2</v>
      </c>
      <c r="D53" s="360">
        <v>0.11465099887537564</v>
      </c>
      <c r="E53" s="360">
        <v>0.10749615366753695</v>
      </c>
      <c r="F53" s="360">
        <v>0.51983873934637326</v>
      </c>
      <c r="G53" s="361">
        <v>0.81914572438014077</v>
      </c>
      <c r="H53" s="361">
        <v>0.90372282655970038</v>
      </c>
      <c r="I53" s="360">
        <v>5.1955717413617861E-2</v>
      </c>
      <c r="J53" s="360">
        <v>0.67840264511417692</v>
      </c>
      <c r="K53" s="360">
        <v>4.0925000000000003E-2</v>
      </c>
      <c r="L53" s="360">
        <v>0.19261882065164609</v>
      </c>
      <c r="M53" s="360">
        <v>4.7702603820969684E-2</v>
      </c>
      <c r="N53" s="361">
        <v>0.97098469690152778</v>
      </c>
      <c r="O53" s="361">
        <v>2.9961886099567443</v>
      </c>
      <c r="P53" s="361">
        <v>13.901198791089055</v>
      </c>
      <c r="Q53" s="361">
        <v>25.920174938045761</v>
      </c>
      <c r="R53" s="361">
        <v>3.2865078885347216</v>
      </c>
      <c r="S53" s="361">
        <v>44.419732750252479</v>
      </c>
      <c r="T53" s="360">
        <v>0.14295395247247653</v>
      </c>
      <c r="U53" s="360">
        <v>8.9760409245511458E-2</v>
      </c>
      <c r="V53" s="360">
        <v>1.0325301873605076E-2</v>
      </c>
      <c r="W53" s="360">
        <v>-7.4608811211580681E-2</v>
      </c>
      <c r="X53" s="360">
        <v>2.6737409474055483E-2</v>
      </c>
      <c r="Y53" s="360">
        <v>1.9735534728963189</v>
      </c>
      <c r="Z53" s="360">
        <v>1.9735534728963189</v>
      </c>
      <c r="AA53" s="362">
        <v>0.11262436965250604</v>
      </c>
    </row>
    <row r="54" spans="1:27" ht="14">
      <c r="A54" s="359" t="s">
        <v>559</v>
      </c>
      <c r="B54" s="144">
        <v>22</v>
      </c>
      <c r="C54" s="360">
        <v>7.8357142857142844E-3</v>
      </c>
      <c r="D54" s="360">
        <v>7.5005935717559216E-2</v>
      </c>
      <c r="E54" s="360">
        <v>0.12839147542241577</v>
      </c>
      <c r="F54" s="360">
        <v>0.23999728394642578</v>
      </c>
      <c r="G54" s="361">
        <v>0.83430915107503556</v>
      </c>
      <c r="H54" s="361">
        <v>1.0002964815877964</v>
      </c>
      <c r="I54" s="360">
        <v>5.6513993930943987E-2</v>
      </c>
      <c r="J54" s="360">
        <v>0.31111572613682442</v>
      </c>
      <c r="K54" s="360">
        <v>2.58E-2</v>
      </c>
      <c r="L54" s="360">
        <v>0.32350717310232507</v>
      </c>
      <c r="M54" s="360">
        <v>4.4324245611831528E-2</v>
      </c>
      <c r="N54" s="361">
        <v>1.972113714604361</v>
      </c>
      <c r="O54" s="361">
        <v>1.1194240858943512</v>
      </c>
      <c r="P54" s="361">
        <v>8.8204688607122339</v>
      </c>
      <c r="Q54" s="361">
        <v>14.773431283161203</v>
      </c>
      <c r="R54" s="361">
        <v>2.6021235267337746</v>
      </c>
      <c r="S54" s="361">
        <v>33.034458299910348</v>
      </c>
      <c r="T54" s="360">
        <v>6.659256682513652E-2</v>
      </c>
      <c r="U54" s="360">
        <v>2.8121497236440328E-2</v>
      </c>
      <c r="V54" s="360">
        <v>3.6925574384203833E-3</v>
      </c>
      <c r="W54" s="360">
        <v>-0.10660481631796878</v>
      </c>
      <c r="X54" s="360">
        <v>6.3627655774788114E-2</v>
      </c>
      <c r="Y54" s="360">
        <v>0.91771209866042969</v>
      </c>
      <c r="Z54" s="360">
        <v>0.91771209866042969</v>
      </c>
      <c r="AA54" s="362">
        <v>7.5108065481656369E-2</v>
      </c>
    </row>
    <row r="55" spans="1:27" ht="14">
      <c r="A55" s="359" t="s">
        <v>560</v>
      </c>
      <c r="B55" s="144">
        <v>3</v>
      </c>
      <c r="C55" s="360">
        <v>-1.2399999999999996E-2</v>
      </c>
      <c r="D55" s="360">
        <v>-4.2742659174976001E-2</v>
      </c>
      <c r="E55" s="360">
        <v>-2.3337328566244785E-2</v>
      </c>
      <c r="F55" s="360">
        <v>0.25627413127413129</v>
      </c>
      <c r="G55" s="361">
        <v>0.98781333722591802</v>
      </c>
      <c r="H55" s="361">
        <v>1.2606140135050163</v>
      </c>
      <c r="I55" s="360">
        <v>6.8800981437436765E-2</v>
      </c>
      <c r="J55" s="360">
        <v>0.2638843975896713</v>
      </c>
      <c r="K55" s="360">
        <v>2.58E-2</v>
      </c>
      <c r="L55" s="360">
        <v>0.30601073208560187</v>
      </c>
      <c r="M55" s="360">
        <v>5.3510548867659061E-2</v>
      </c>
      <c r="N55" s="361">
        <v>0.64497248659890083</v>
      </c>
      <c r="O55" s="361">
        <v>1.5354222004654785</v>
      </c>
      <c r="P55" s="361">
        <v>10.77335432691406</v>
      </c>
      <c r="Q55" s="361" t="s">
        <v>98</v>
      </c>
      <c r="R55" s="361">
        <v>1.049004784404624</v>
      </c>
      <c r="S55" s="361">
        <v>52.496325301204813</v>
      </c>
      <c r="T55" s="360">
        <v>5.3864505457740422E-2</v>
      </c>
      <c r="U55" s="360">
        <v>0.11103398463515529</v>
      </c>
      <c r="V55" s="360">
        <v>-6.7250118034775708E-2</v>
      </c>
      <c r="W55" s="360" t="s">
        <v>98</v>
      </c>
      <c r="X55" s="360">
        <v>-6.1885538898176169E-2</v>
      </c>
      <c r="Y55" s="360">
        <v>4.477710843373494E-2</v>
      </c>
      <c r="Z55" s="360">
        <v>4.4777108433734947E-2</v>
      </c>
      <c r="AA55" s="362">
        <v>-3.9580054827587807E-2</v>
      </c>
    </row>
    <row r="56" spans="1:27" ht="14">
      <c r="A56" s="359" t="s">
        <v>561</v>
      </c>
      <c r="B56" s="144">
        <v>278</v>
      </c>
      <c r="C56" s="360">
        <v>-1.1709734513274346E-2</v>
      </c>
      <c r="D56" s="360">
        <v>-0.21398495731025832</v>
      </c>
      <c r="E56" s="360">
        <v>-6.3286791128160005E-2</v>
      </c>
      <c r="F56" s="360">
        <v>0.28594713349681666</v>
      </c>
      <c r="G56" s="361">
        <v>0.81079402463970451</v>
      </c>
      <c r="H56" s="361">
        <v>1.1833905955492112</v>
      </c>
      <c r="I56" s="360">
        <v>6.5156036109922766E-2</v>
      </c>
      <c r="J56" s="360">
        <v>0.56276274246951741</v>
      </c>
      <c r="K56" s="360">
        <v>2.9980000000000003E-2</v>
      </c>
      <c r="L56" s="360">
        <v>0.41886421491621328</v>
      </c>
      <c r="M56" s="360">
        <v>4.7031515086814822E-2</v>
      </c>
      <c r="N56" s="361">
        <v>0.30783868368108652</v>
      </c>
      <c r="O56" s="361">
        <v>2.9075110392871673</v>
      </c>
      <c r="P56" s="361">
        <v>6.3941465877313668</v>
      </c>
      <c r="Q56" s="361" t="s">
        <v>98</v>
      </c>
      <c r="R56" s="361">
        <v>1.2088683318955453</v>
      </c>
      <c r="S56" s="361">
        <v>26.134360751561921</v>
      </c>
      <c r="T56" s="360">
        <v>1.2895675227694475E-2</v>
      </c>
      <c r="U56" s="360">
        <v>0.38822244842950576</v>
      </c>
      <c r="V56" s="360">
        <v>-0.22847164912298079</v>
      </c>
      <c r="W56" s="360" t="s">
        <v>98</v>
      </c>
      <c r="X56" s="360">
        <v>-0.37085636682963297</v>
      </c>
      <c r="Y56" s="360">
        <v>1.6772595857949251E-2</v>
      </c>
      <c r="Z56" s="360">
        <v>1.6772595857949213E-2</v>
      </c>
      <c r="AA56" s="362">
        <v>-0.20698845788428941</v>
      </c>
    </row>
    <row r="57" spans="1:27" ht="14">
      <c r="A57" s="359" t="s">
        <v>562</v>
      </c>
      <c r="B57" s="144">
        <v>57</v>
      </c>
      <c r="C57" s="360">
        <v>0.10740717948717951</v>
      </c>
      <c r="D57" s="360">
        <v>0.17432125042370422</v>
      </c>
      <c r="E57" s="360">
        <v>9.0100144553245262E-2</v>
      </c>
      <c r="F57" s="360">
        <v>8.7401349156890656E-2</v>
      </c>
      <c r="G57" s="361">
        <v>0.60254955065697147</v>
      </c>
      <c r="H57" s="361">
        <v>1.1569354576468236</v>
      </c>
      <c r="I57" s="360">
        <v>6.390735360093007E-2</v>
      </c>
      <c r="J57" s="360">
        <v>0.40777804780152754</v>
      </c>
      <c r="K57" s="360">
        <v>2.9980000000000003E-2</v>
      </c>
      <c r="L57" s="360">
        <v>0.56463665052649537</v>
      </c>
      <c r="M57" s="360">
        <v>4.0180218471121118E-2</v>
      </c>
      <c r="N57" s="361">
        <v>0.54322745466860212</v>
      </c>
      <c r="O57" s="361">
        <v>2.4248652088923657</v>
      </c>
      <c r="P57" s="361">
        <v>9.1233312166575953</v>
      </c>
      <c r="Q57" s="361">
        <v>13.945658781175549</v>
      </c>
      <c r="R57" s="361">
        <v>1.24018893184319</v>
      </c>
      <c r="S57" s="361">
        <v>37.082779959348315</v>
      </c>
      <c r="T57" s="360">
        <v>6.9728071743145256E-2</v>
      </c>
      <c r="U57" s="360">
        <v>0.13481286549343449</v>
      </c>
      <c r="V57" s="360">
        <v>5.0148697565255682E-2</v>
      </c>
      <c r="W57" s="360">
        <v>0.36477100667666951</v>
      </c>
      <c r="X57" s="360">
        <v>1.2807842501367015E-2</v>
      </c>
      <c r="Y57" s="360">
        <v>4.6592914932410093E-2</v>
      </c>
      <c r="Z57" s="360">
        <v>4.6592914932410134E-2</v>
      </c>
      <c r="AA57" s="362">
        <v>0.17376178369902853</v>
      </c>
    </row>
    <row r="58" spans="1:27" ht="14">
      <c r="A58" s="359" t="s">
        <v>563</v>
      </c>
      <c r="B58" s="144">
        <v>135</v>
      </c>
      <c r="C58" s="360">
        <v>-6.8566034482758637E-2</v>
      </c>
      <c r="D58" s="360">
        <v>4.7401817432219584E-3</v>
      </c>
      <c r="E58" s="360">
        <v>1.2932644090616056E-2</v>
      </c>
      <c r="F58" s="360">
        <v>4.3658438018919055E-2</v>
      </c>
      <c r="G58" s="361">
        <v>0.83514699572106865</v>
      </c>
      <c r="H58" s="361">
        <v>1.207736156526019</v>
      </c>
      <c r="I58" s="360">
        <v>6.6305146588028094E-2</v>
      </c>
      <c r="J58" s="360">
        <v>0.50267474468728313</v>
      </c>
      <c r="K58" s="360">
        <v>2.9980000000000003E-2</v>
      </c>
      <c r="L58" s="360">
        <v>0.43642107631601756</v>
      </c>
      <c r="M58" s="360">
        <v>4.6919432972396126E-2</v>
      </c>
      <c r="N58" s="361">
        <v>1.8801409219692327</v>
      </c>
      <c r="O58" s="361">
        <v>0.7342577025313457</v>
      </c>
      <c r="P58" s="361">
        <v>11.347598966546137</v>
      </c>
      <c r="Q58" s="361">
        <v>95.775016728609842</v>
      </c>
      <c r="R58" s="361">
        <v>1.3032352417280142</v>
      </c>
      <c r="S58" s="361">
        <v>31.776149931718642</v>
      </c>
      <c r="T58" s="360">
        <v>0.1140675782923368</v>
      </c>
      <c r="U58" s="360">
        <v>4.1399140362135954E-2</v>
      </c>
      <c r="V58" s="360">
        <v>-7.939312059139853E-4</v>
      </c>
      <c r="W58" s="360">
        <v>-0.39825324699839454</v>
      </c>
      <c r="X58" s="360">
        <v>-0.26630862548974504</v>
      </c>
      <c r="Y58" s="360">
        <v>3.0415759862292557E-3</v>
      </c>
      <c r="Z58" s="360">
        <v>3.041575986229228E-3</v>
      </c>
      <c r="AA58" s="362">
        <v>6.9636398233456145E-3</v>
      </c>
    </row>
    <row r="59" spans="1:27" ht="14">
      <c r="A59" s="359" t="s">
        <v>564</v>
      </c>
      <c r="B59" s="144">
        <v>26</v>
      </c>
      <c r="C59" s="360">
        <v>2.5224210526315786E-2</v>
      </c>
      <c r="D59" s="360">
        <v>9.6640986273185708E-2</v>
      </c>
      <c r="E59" s="360">
        <v>0.12248725976415933</v>
      </c>
      <c r="F59" s="360">
        <v>0.25382644406604221</v>
      </c>
      <c r="G59" s="361">
        <v>0.68234288150770084</v>
      </c>
      <c r="H59" s="361">
        <v>0.92162110120204421</v>
      </c>
      <c r="I59" s="360">
        <v>5.280051597673649E-2</v>
      </c>
      <c r="J59" s="360">
        <v>0.29215495035874861</v>
      </c>
      <c r="K59" s="360">
        <v>2.58E-2</v>
      </c>
      <c r="L59" s="360">
        <v>0.35530389787857364</v>
      </c>
      <c r="M59" s="360">
        <v>4.0732080452847166E-2</v>
      </c>
      <c r="N59" s="361">
        <v>1.4717693406459775</v>
      </c>
      <c r="O59" s="361">
        <v>1.7169827985643689</v>
      </c>
      <c r="P59" s="361">
        <v>10.335189534200357</v>
      </c>
      <c r="Q59" s="361">
        <v>17.478590949457661</v>
      </c>
      <c r="R59" s="361">
        <v>3.757301185065967</v>
      </c>
      <c r="S59" s="361">
        <v>24.252317258960598</v>
      </c>
      <c r="T59" s="360">
        <v>7.2306057760691572E-2</v>
      </c>
      <c r="U59" s="360">
        <v>5.339046494887028E-2</v>
      </c>
      <c r="V59" s="360">
        <v>2.177664819877731E-2</v>
      </c>
      <c r="W59" s="360">
        <v>0.22765881308245103</v>
      </c>
      <c r="X59" s="360">
        <v>9.7590767983516832E-2</v>
      </c>
      <c r="Y59" s="360">
        <v>0.64944731364503272</v>
      </c>
      <c r="Z59" s="360">
        <v>0.64944731364503272</v>
      </c>
      <c r="AA59" s="362">
        <v>9.8607501324625077E-2</v>
      </c>
    </row>
    <row r="60" spans="1:27" ht="14">
      <c r="A60" s="359" t="s">
        <v>565</v>
      </c>
      <c r="B60" s="144">
        <v>15</v>
      </c>
      <c r="C60" s="360">
        <v>5.0610000000000021E-3</v>
      </c>
      <c r="D60" s="360">
        <v>5.8431923014684153E-2</v>
      </c>
      <c r="E60" s="360">
        <v>8.3773386908042535E-2</v>
      </c>
      <c r="F60" s="360">
        <v>0.21086814763291745</v>
      </c>
      <c r="G60" s="361">
        <v>0.95918786556922253</v>
      </c>
      <c r="H60" s="361">
        <v>1.1387183512788366</v>
      </c>
      <c r="I60" s="360">
        <v>6.304750618036109E-2</v>
      </c>
      <c r="J60" s="360">
        <v>0.35669571939417954</v>
      </c>
      <c r="K60" s="360">
        <v>2.58E-2</v>
      </c>
      <c r="L60" s="360">
        <v>0.27285585374762972</v>
      </c>
      <c r="M60" s="360">
        <v>5.0983592204342558E-2</v>
      </c>
      <c r="N60" s="361">
        <v>1.4821096503747624</v>
      </c>
      <c r="O60" s="361">
        <v>0.94369086049964812</v>
      </c>
      <c r="P60" s="361">
        <v>7.7090415384646294</v>
      </c>
      <c r="Q60" s="361">
        <v>15.645062769895638</v>
      </c>
      <c r="R60" s="361">
        <v>1.6062131835036193</v>
      </c>
      <c r="S60" s="361">
        <v>20.046811587596142</v>
      </c>
      <c r="T60" s="360">
        <v>0.15400195670021366</v>
      </c>
      <c r="U60" s="360">
        <v>3.8510324637052895E-2</v>
      </c>
      <c r="V60" s="360">
        <v>-2.8965992312751398E-3</v>
      </c>
      <c r="W60" s="360">
        <v>-0.27911323242144731</v>
      </c>
      <c r="X60" s="360">
        <v>4.694524584126205E-2</v>
      </c>
      <c r="Y60" s="360">
        <v>1.1751668769654215</v>
      </c>
      <c r="Z60" s="360">
        <v>1.1751668769654215</v>
      </c>
      <c r="AA60" s="362">
        <v>6.0084556502187678E-2</v>
      </c>
    </row>
    <row r="61" spans="1:27" ht="14">
      <c r="A61" s="359" t="s">
        <v>566</v>
      </c>
      <c r="B61" s="144">
        <v>55</v>
      </c>
      <c r="C61" s="360">
        <v>1.0116808510638295E-2</v>
      </c>
      <c r="D61" s="360">
        <v>0.19820463829809831</v>
      </c>
      <c r="E61" s="360">
        <v>6.8022090326851803E-2</v>
      </c>
      <c r="F61" s="360">
        <v>0.11022539636200014</v>
      </c>
      <c r="G61" s="361">
        <v>0.43089894553631297</v>
      </c>
      <c r="H61" s="361">
        <v>0.66653691588490227</v>
      </c>
      <c r="I61" s="360">
        <v>4.0760542429767385E-2</v>
      </c>
      <c r="J61" s="360">
        <v>0.1985988098435171</v>
      </c>
      <c r="K61" s="360">
        <v>1.9200000000000002E-2</v>
      </c>
      <c r="L61" s="360">
        <v>0.43846095917670846</v>
      </c>
      <c r="M61" s="360">
        <v>2.9034104703269403E-2</v>
      </c>
      <c r="N61" s="361">
        <v>0.38499021153035667</v>
      </c>
      <c r="O61" s="361">
        <v>4.3654784348990487</v>
      </c>
      <c r="P61" s="361">
        <v>11.886012377389731</v>
      </c>
      <c r="Q61" s="361">
        <v>22.257213209873189</v>
      </c>
      <c r="R61" s="361">
        <v>1.9013502632090518</v>
      </c>
      <c r="S61" s="361">
        <v>21.953539691815568</v>
      </c>
      <c r="T61" s="360">
        <v>2.5709267919529984E-2</v>
      </c>
      <c r="U61" s="360">
        <v>0.35107335678984564</v>
      </c>
      <c r="V61" s="360">
        <v>0.20554745056513421</v>
      </c>
      <c r="W61" s="360">
        <v>1.195335560604849</v>
      </c>
      <c r="X61" s="360">
        <v>7.6868186075376432E-2</v>
      </c>
      <c r="Y61" s="360">
        <v>0.87588612412849476</v>
      </c>
      <c r="Z61" s="360">
        <v>0.87588612412849476</v>
      </c>
      <c r="AA61" s="362">
        <v>0.19611736910155966</v>
      </c>
    </row>
    <row r="62" spans="1:27" ht="14">
      <c r="A62" s="359" t="s">
        <v>567</v>
      </c>
      <c r="B62" s="144">
        <v>93</v>
      </c>
      <c r="C62" s="360">
        <v>3.1650909090909091E-2</v>
      </c>
      <c r="D62" s="360">
        <v>0.21479103883077061</v>
      </c>
      <c r="E62" s="360">
        <v>9.8743875368423023E-2</v>
      </c>
      <c r="F62" s="360">
        <v>0.1813211341779995</v>
      </c>
      <c r="G62" s="361">
        <v>0.75268089182165343</v>
      </c>
      <c r="H62" s="361">
        <v>0.75722241098522591</v>
      </c>
      <c r="I62" s="360">
        <v>4.5040897798502663E-2</v>
      </c>
      <c r="J62" s="360">
        <v>0.67763412020990454</v>
      </c>
      <c r="K62" s="360">
        <v>4.0925000000000003E-2</v>
      </c>
      <c r="L62" s="360">
        <v>0.112623488142298</v>
      </c>
      <c r="M62" s="360">
        <v>4.3332889643497734E-2</v>
      </c>
      <c r="N62" s="361">
        <v>0.46131827015132543</v>
      </c>
      <c r="O62" s="361">
        <v>4.8166170023120944</v>
      </c>
      <c r="P62" s="361">
        <v>10.29895210389425</v>
      </c>
      <c r="Q62" s="361">
        <v>21.447009085372958</v>
      </c>
      <c r="R62" s="361">
        <v>2.1916210223327619</v>
      </c>
      <c r="S62" s="361">
        <v>86.454170201567749</v>
      </c>
      <c r="T62" s="360">
        <v>0.11992866477531236</v>
      </c>
      <c r="U62" s="360">
        <v>0.12997655288825916</v>
      </c>
      <c r="V62" s="360">
        <v>-8.1864633393163536E-2</v>
      </c>
      <c r="W62" s="360">
        <v>-0.44223774482057743</v>
      </c>
      <c r="X62" s="360">
        <v>8.2699163199042053E-2</v>
      </c>
      <c r="Y62" s="360">
        <v>0.3190804543851265</v>
      </c>
      <c r="Z62" s="360">
        <v>0.31908045438512644</v>
      </c>
      <c r="AA62" s="362">
        <v>0.21639308705395235</v>
      </c>
    </row>
    <row r="63" spans="1:27" ht="14">
      <c r="A63" s="359" t="s">
        <v>655</v>
      </c>
      <c r="B63" s="144">
        <v>29</v>
      </c>
      <c r="C63" s="360">
        <v>3.0811764705882326E-3</v>
      </c>
      <c r="D63" s="360">
        <v>5.6433989686274819E-2</v>
      </c>
      <c r="E63" s="360">
        <v>0.10481911231511697</v>
      </c>
      <c r="F63" s="360">
        <v>0.237931513509759</v>
      </c>
      <c r="G63" s="361">
        <v>1.1058928086855666</v>
      </c>
      <c r="H63" s="361">
        <v>1.4081707476360148</v>
      </c>
      <c r="I63" s="360">
        <v>7.5765659288419898E-2</v>
      </c>
      <c r="J63" s="360">
        <v>0.37469457859611055</v>
      </c>
      <c r="K63" s="360">
        <v>2.58E-2</v>
      </c>
      <c r="L63" s="360">
        <v>0.3506570567572469</v>
      </c>
      <c r="M63" s="360">
        <v>5.58021712060362E-2</v>
      </c>
      <c r="N63" s="361">
        <v>2.0940679220111589</v>
      </c>
      <c r="O63" s="361">
        <v>1.1672414575150774</v>
      </c>
      <c r="P63" s="361">
        <v>9.7685891595619463</v>
      </c>
      <c r="Q63" s="361">
        <v>21.764632043006802</v>
      </c>
      <c r="R63" s="361">
        <v>2.0728288706202052</v>
      </c>
      <c r="S63" s="361">
        <v>48.936283563714277</v>
      </c>
      <c r="T63" s="360">
        <v>0.11595179418705917</v>
      </c>
      <c r="U63" s="360">
        <v>2.6935334536692845E-2</v>
      </c>
      <c r="V63" s="360">
        <v>5.6288048002505545E-3</v>
      </c>
      <c r="W63" s="360">
        <v>-4.9119547429444022E-2</v>
      </c>
      <c r="X63" s="360">
        <v>-0.14184457993821981</v>
      </c>
      <c r="Y63" s="360">
        <v>5.4255396750000186E-3</v>
      </c>
      <c r="Z63" s="360">
        <v>5.4255396750000351E-3</v>
      </c>
      <c r="AA63" s="362">
        <v>5.3133700414144995E-2</v>
      </c>
    </row>
    <row r="64" spans="1:27" ht="14">
      <c r="A64" s="359" t="s">
        <v>568</v>
      </c>
      <c r="B64" s="144">
        <v>238</v>
      </c>
      <c r="C64" s="360">
        <v>6.808419354838717E-2</v>
      </c>
      <c r="D64" s="360">
        <v>0.23233180736213863</v>
      </c>
      <c r="E64" s="360">
        <v>2.0493526397506158E-2</v>
      </c>
      <c r="F64" s="360">
        <v>2.4742221389100028E-2</v>
      </c>
      <c r="G64" s="361">
        <v>0.79434176241562093</v>
      </c>
      <c r="H64" s="361">
        <v>1.2058791394920116</v>
      </c>
      <c r="I64" s="360">
        <v>6.6217495384022954E-2</v>
      </c>
      <c r="J64" s="360">
        <v>0.32404663855566707</v>
      </c>
      <c r="K64" s="360">
        <v>2.58E-2</v>
      </c>
      <c r="L64" s="360">
        <v>0.43415228137378137</v>
      </c>
      <c r="M64" s="360">
        <v>4.5645842763585347E-2</v>
      </c>
      <c r="N64" s="361">
        <v>0.10894301479869328</v>
      </c>
      <c r="O64" s="361">
        <v>12.853445702702684</v>
      </c>
      <c r="P64" s="361">
        <v>22.717249672863435</v>
      </c>
      <c r="Q64" s="361">
        <v>61.429724826063385</v>
      </c>
      <c r="R64" s="361">
        <v>2.1147543748611648</v>
      </c>
      <c r="S64" s="361">
        <v>62.999428661447418</v>
      </c>
      <c r="T64" s="360">
        <v>0.89650168063432811</v>
      </c>
      <c r="U64" s="360">
        <v>3.2383819583702858E-2</v>
      </c>
      <c r="V64" s="360">
        <v>-0.15306880511760745</v>
      </c>
      <c r="W64" s="360">
        <v>-0.75125791720008028</v>
      </c>
      <c r="X64" s="360">
        <v>2.1691376983900851E-2</v>
      </c>
      <c r="Y64" s="360">
        <v>4.3049264254942177</v>
      </c>
      <c r="Z64" s="360">
        <v>4.3049264254942177</v>
      </c>
      <c r="AA64" s="362">
        <v>0.19052205895653385</v>
      </c>
    </row>
    <row r="65" spans="1:27" ht="14">
      <c r="A65" s="359" t="s">
        <v>569</v>
      </c>
      <c r="B65" s="144">
        <v>25</v>
      </c>
      <c r="C65" s="360">
        <v>-0.19924799999999998</v>
      </c>
      <c r="D65" s="360">
        <v>-3.6384489715034919E-2</v>
      </c>
      <c r="E65" s="360">
        <v>-1.4133381657184096E-2</v>
      </c>
      <c r="F65" s="360">
        <v>0.27317073170731709</v>
      </c>
      <c r="G65" s="361">
        <v>0.56411584796804493</v>
      </c>
      <c r="H65" s="361">
        <v>0.8485468366232567</v>
      </c>
      <c r="I65" s="360">
        <v>4.9351410688617717E-2</v>
      </c>
      <c r="J65" s="360">
        <v>0.60695873454611438</v>
      </c>
      <c r="K65" s="360">
        <v>2.9980000000000003E-2</v>
      </c>
      <c r="L65" s="360">
        <v>0.48638568069384158</v>
      </c>
      <c r="M65" s="360">
        <v>3.5992336383890058E-2</v>
      </c>
      <c r="N65" s="361">
        <v>0.21705428819872297</v>
      </c>
      <c r="O65" s="361">
        <v>5.997432276524977</v>
      </c>
      <c r="P65" s="361">
        <v>47.574355721584382</v>
      </c>
      <c r="Q65" s="361" t="s">
        <v>98</v>
      </c>
      <c r="R65" s="361">
        <v>1.1875663171101498</v>
      </c>
      <c r="S65" s="361">
        <v>15.955592105263159</v>
      </c>
      <c r="T65" s="360">
        <v>-3.4129217043063889E-2</v>
      </c>
      <c r="U65" s="360">
        <v>0.33826843447784827</v>
      </c>
      <c r="V65" s="360">
        <v>0.21690308145710785</v>
      </c>
      <c r="W65" s="360" t="s">
        <v>98</v>
      </c>
      <c r="X65" s="360">
        <v>-1.2987379920889072E-3</v>
      </c>
      <c r="Y65" s="360">
        <v>0</v>
      </c>
      <c r="Z65" s="360">
        <v>0</v>
      </c>
      <c r="AA65" s="362">
        <v>-6.7020667474596257E-2</v>
      </c>
    </row>
    <row r="66" spans="1:27" ht="14">
      <c r="A66" s="359" t="s">
        <v>570</v>
      </c>
      <c r="B66" s="144">
        <v>11</v>
      </c>
      <c r="C66" s="360">
        <v>9.2042499999999999E-2</v>
      </c>
      <c r="D66" s="360">
        <v>6.9303753313799371E-2</v>
      </c>
      <c r="E66" s="360">
        <v>1.9559257752687621E-2</v>
      </c>
      <c r="F66" s="360">
        <v>0.18499999999999997</v>
      </c>
      <c r="G66" s="361">
        <v>0.75886639235394016</v>
      </c>
      <c r="H66" s="361">
        <v>0.78076847371442626</v>
      </c>
      <c r="I66" s="360">
        <v>4.6152271959320923E-2</v>
      </c>
      <c r="J66" s="360">
        <v>0.20993179354391503</v>
      </c>
      <c r="K66" s="360">
        <v>1.9200000000000002E-2</v>
      </c>
      <c r="L66" s="360">
        <v>0.22611863374459878</v>
      </c>
      <c r="M66" s="360">
        <v>3.8885662050234415E-2</v>
      </c>
      <c r="N66" s="361">
        <v>0.33115359281110035</v>
      </c>
      <c r="O66" s="361">
        <v>6.8144572719394834</v>
      </c>
      <c r="P66" s="361">
        <v>25.25416971536394</v>
      </c>
      <c r="Q66" s="361">
        <v>78.401285959932977</v>
      </c>
      <c r="R66" s="361">
        <v>1.1866321450440618</v>
      </c>
      <c r="S66" s="361">
        <v>52.413073487914708</v>
      </c>
      <c r="T66" s="360">
        <v>3.0100767406167162</v>
      </c>
      <c r="U66" s="360">
        <v>2.5730431142737549E-2</v>
      </c>
      <c r="V66" s="360">
        <v>-2.9910701827821965E-2</v>
      </c>
      <c r="W66" s="360">
        <v>4.9744398920298813</v>
      </c>
      <c r="X66" s="360">
        <v>2.0017463435931023E-2</v>
      </c>
      <c r="Y66" s="360">
        <v>0.67611777535441642</v>
      </c>
      <c r="Z66" s="360">
        <v>0.67611777535441642</v>
      </c>
      <c r="AA66" s="362">
        <v>6.3742841691355648E-2</v>
      </c>
    </row>
    <row r="67" spans="1:27" ht="14">
      <c r="A67" s="359" t="s">
        <v>571</v>
      </c>
      <c r="B67" s="144">
        <v>61</v>
      </c>
      <c r="C67" s="360">
        <v>2.0951249999999998E-2</v>
      </c>
      <c r="D67" s="360">
        <v>4.1314069988695017E-2</v>
      </c>
      <c r="E67" s="360">
        <v>7.9711332468772544E-2</v>
      </c>
      <c r="F67" s="360">
        <v>0.10487936387860981</v>
      </c>
      <c r="G67" s="361">
        <v>0.75588149918934744</v>
      </c>
      <c r="H67" s="361">
        <v>0.9208927333748228</v>
      </c>
      <c r="I67" s="360">
        <v>5.2766137015291634E-2</v>
      </c>
      <c r="J67" s="360">
        <v>0.34721661076275118</v>
      </c>
      <c r="K67" s="360">
        <v>2.58E-2</v>
      </c>
      <c r="L67" s="360">
        <v>0.28972378567559348</v>
      </c>
      <c r="M67" s="360">
        <v>4.2935189823158408E-2</v>
      </c>
      <c r="N67" s="361">
        <v>2.0466694347095413</v>
      </c>
      <c r="O67" s="361">
        <v>1.5620549062342843</v>
      </c>
      <c r="P67" s="361">
        <v>14.823666944541676</v>
      </c>
      <c r="Q67" s="361">
        <v>32.308078336473812</v>
      </c>
      <c r="R67" s="361">
        <v>3.2119688855140058</v>
      </c>
      <c r="S67" s="361">
        <v>56.828067786122666</v>
      </c>
      <c r="T67" s="360">
        <v>0.14007796721130611</v>
      </c>
      <c r="U67" s="360">
        <v>1.2178573466827854E-2</v>
      </c>
      <c r="V67" s="360">
        <v>-6.3576461763783796E-3</v>
      </c>
      <c r="W67" s="360">
        <v>-0.93677769636555686</v>
      </c>
      <c r="X67" s="360">
        <v>4.7133292079770781E-2</v>
      </c>
      <c r="Y67" s="360">
        <v>0.39081018245225269</v>
      </c>
      <c r="Z67" s="360">
        <v>0.39081018245225274</v>
      </c>
      <c r="AA67" s="362">
        <v>4.0708392406484474E-2</v>
      </c>
    </row>
    <row r="68" spans="1:27" ht="14">
      <c r="A68" s="359" t="s">
        <v>572</v>
      </c>
      <c r="B68" s="144">
        <v>69</v>
      </c>
      <c r="C68" s="360">
        <v>2.6224062499999999E-2</v>
      </c>
      <c r="D68" s="360">
        <v>6.8106734401567143E-2</v>
      </c>
      <c r="E68" s="360">
        <v>8.6520139931235238E-2</v>
      </c>
      <c r="F68" s="360">
        <v>0.22557740263103085</v>
      </c>
      <c r="G68" s="361">
        <v>0.77421948708534494</v>
      </c>
      <c r="H68" s="361">
        <v>0.86660497958902938</v>
      </c>
      <c r="I68" s="360">
        <v>5.0203755036602182E-2</v>
      </c>
      <c r="J68" s="360">
        <v>0.56399857639185591</v>
      </c>
      <c r="K68" s="360">
        <v>2.9980000000000003E-2</v>
      </c>
      <c r="L68" s="360">
        <v>0.19678085259101566</v>
      </c>
      <c r="M68" s="360">
        <v>4.4631244988524527E-2</v>
      </c>
      <c r="N68" s="361">
        <v>1.4245720046350399</v>
      </c>
      <c r="O68" s="361">
        <v>3.7330910404870941</v>
      </c>
      <c r="P68" s="361">
        <v>22.593235934486472</v>
      </c>
      <c r="Q68" s="361">
        <v>52.057461234948995</v>
      </c>
      <c r="R68" s="361">
        <v>10.37050813778886</v>
      </c>
      <c r="S68" s="361">
        <v>155.39430580205871</v>
      </c>
      <c r="T68" s="360">
        <v>0.1566398569548586</v>
      </c>
      <c r="U68" s="360">
        <v>4.5603247079010326E-2</v>
      </c>
      <c r="V68" s="360">
        <v>0.11377842440533756</v>
      </c>
      <c r="W68" s="360">
        <v>2.0677973858941097</v>
      </c>
      <c r="X68" s="360">
        <v>-7.1920265544044876E-2</v>
      </c>
      <c r="Y68" s="360">
        <v>7.0830936942906401E-3</v>
      </c>
      <c r="Z68" s="360">
        <v>7.0830936942906098E-3</v>
      </c>
      <c r="AA68" s="362">
        <v>6.442441565709045E-2</v>
      </c>
    </row>
    <row r="69" spans="1:27" ht="14">
      <c r="A69" s="359" t="s">
        <v>573</v>
      </c>
      <c r="B69" s="144">
        <v>2</v>
      </c>
      <c r="C69" s="360">
        <v>9.11E-2</v>
      </c>
      <c r="D69" s="360">
        <v>4.2692780607763922E-2</v>
      </c>
      <c r="E69" s="360">
        <v>3.7434277758313074E-2</v>
      </c>
      <c r="F69" s="360">
        <v>0.25144508670520233</v>
      </c>
      <c r="G69" s="361">
        <v>1.1287984344732374</v>
      </c>
      <c r="H69" s="361">
        <v>1.1625522840974329</v>
      </c>
      <c r="I69" s="360">
        <v>6.4172467809398837E-2</v>
      </c>
      <c r="J69" s="360">
        <v>0.252283349677488</v>
      </c>
      <c r="K69" s="360">
        <v>2.58E-2</v>
      </c>
      <c r="L69" s="360">
        <v>0.27807845312560953</v>
      </c>
      <c r="M69" s="360">
        <v>5.1564816813875966E-2</v>
      </c>
      <c r="N69" s="361">
        <v>1.0172373176751821</v>
      </c>
      <c r="O69" s="361">
        <v>0.80749707015112049</v>
      </c>
      <c r="P69" s="361">
        <v>12.924039416278688</v>
      </c>
      <c r="Q69" s="361">
        <v>19.184172065966298</v>
      </c>
      <c r="R69" s="361">
        <v>0.74902142212425116</v>
      </c>
      <c r="S69" s="361">
        <v>15.20057915057915</v>
      </c>
      <c r="T69" s="360">
        <v>-7.6027577727033169E-2</v>
      </c>
      <c r="U69" s="360">
        <v>2.9202529422097312E-3</v>
      </c>
      <c r="V69" s="360">
        <v>-9.8234674161250621E-3</v>
      </c>
      <c r="W69" s="360">
        <v>-0.17142292109247392</v>
      </c>
      <c r="X69" s="360">
        <v>2.4193706884691728E-2</v>
      </c>
      <c r="Y69" s="360">
        <v>0.36149471974004876</v>
      </c>
      <c r="Z69" s="360">
        <v>0.36149471974004876</v>
      </c>
      <c r="AA69" s="362">
        <v>4.2091838385022701E-2</v>
      </c>
    </row>
    <row r="70" spans="1:27" ht="14">
      <c r="A70" s="359" t="s">
        <v>574</v>
      </c>
      <c r="B70" s="144">
        <v>79</v>
      </c>
      <c r="C70" s="360">
        <v>8.3689361702127645E-3</v>
      </c>
      <c r="D70" s="360">
        <v>0.11362052797567285</v>
      </c>
      <c r="E70" s="360">
        <v>7.2401157514773648E-2</v>
      </c>
      <c r="F70" s="360">
        <v>0.18690061517325515</v>
      </c>
      <c r="G70" s="361">
        <v>1.1109354329268502</v>
      </c>
      <c r="H70" s="361">
        <v>1.3447999980982199</v>
      </c>
      <c r="I70" s="360">
        <v>7.2774559910235986E-2</v>
      </c>
      <c r="J70" s="360">
        <v>0.53625518686751139</v>
      </c>
      <c r="K70" s="360">
        <v>2.9980000000000003E-2</v>
      </c>
      <c r="L70" s="360">
        <v>0.25205862631121706</v>
      </c>
      <c r="M70" s="360">
        <v>5.9947508169130047E-2</v>
      </c>
      <c r="N70" s="361">
        <v>1.1412993265905524</v>
      </c>
      <c r="O70" s="361">
        <v>5.2680885093782539</v>
      </c>
      <c r="P70" s="361">
        <v>23.531642798240242</v>
      </c>
      <c r="Q70" s="361">
        <v>80.248550963463103</v>
      </c>
      <c r="R70" s="361" t="s">
        <v>98</v>
      </c>
      <c r="S70" s="361">
        <v>58.913182776746602</v>
      </c>
      <c r="T70" s="360">
        <v>2.8449815137323243E-2</v>
      </c>
      <c r="U70" s="360">
        <v>5.8222841973227538E-2</v>
      </c>
      <c r="V70" s="360">
        <v>2.4713858138244199E-2</v>
      </c>
      <c r="W70" s="360">
        <v>0.48715321107796872</v>
      </c>
      <c r="X70" s="360" t="s">
        <v>98</v>
      </c>
      <c r="Y70" s="360">
        <v>1.143323840028764</v>
      </c>
      <c r="Z70" s="360">
        <v>1.143323840028764</v>
      </c>
      <c r="AA70" s="362">
        <v>6.552930130985031E-2</v>
      </c>
    </row>
    <row r="71" spans="1:27" ht="14">
      <c r="A71" s="359" t="s">
        <v>575</v>
      </c>
      <c r="B71" s="144">
        <v>30</v>
      </c>
      <c r="C71" s="360">
        <v>3.197875E-2</v>
      </c>
      <c r="D71" s="360">
        <v>6.4289637210557471E-2</v>
      </c>
      <c r="E71" s="360">
        <v>0.10101677694275035</v>
      </c>
      <c r="F71" s="360">
        <v>0.2318203274186281</v>
      </c>
      <c r="G71" s="361">
        <v>0.98995492836964694</v>
      </c>
      <c r="H71" s="361">
        <v>1.2983003362585088</v>
      </c>
      <c r="I71" s="360">
        <v>7.0579775871401615E-2</v>
      </c>
      <c r="J71" s="360">
        <v>0.42818769334060935</v>
      </c>
      <c r="K71" s="360">
        <v>2.9980000000000003E-2</v>
      </c>
      <c r="L71" s="360">
        <v>0.3320585102931527</v>
      </c>
      <c r="M71" s="360">
        <v>5.4410393959889156E-2</v>
      </c>
      <c r="N71" s="361">
        <v>2.0854857642689666</v>
      </c>
      <c r="O71" s="361">
        <v>1.2354713774059443</v>
      </c>
      <c r="P71" s="361">
        <v>11.562920284920681</v>
      </c>
      <c r="Q71" s="361">
        <v>19.837016676554224</v>
      </c>
      <c r="R71" s="361">
        <v>5.9878888413419507</v>
      </c>
      <c r="S71" s="361">
        <v>17.520871329775961</v>
      </c>
      <c r="T71" s="360">
        <v>0.10951001226456983</v>
      </c>
      <c r="U71" s="360">
        <v>1.8102295966422211E-2</v>
      </c>
      <c r="V71" s="360">
        <v>1.7203559314504849E-2</v>
      </c>
      <c r="W71" s="360">
        <v>-0.23160788717362138</v>
      </c>
      <c r="X71" s="360">
        <v>0.36275557642954948</v>
      </c>
      <c r="Y71" s="360">
        <v>3.723462603920915E-2</v>
      </c>
      <c r="Z71" s="360">
        <v>3.7234626039209129E-2</v>
      </c>
      <c r="AA71" s="362">
        <v>5.4824762680080623E-2</v>
      </c>
    </row>
    <row r="72" spans="1:27" ht="14">
      <c r="A72" s="359" t="s">
        <v>576</v>
      </c>
      <c r="B72" s="144">
        <v>15</v>
      </c>
      <c r="C72" s="360">
        <v>6.4169166666666666E-2</v>
      </c>
      <c r="D72" s="360">
        <v>0.12788520167560441</v>
      </c>
      <c r="E72" s="360">
        <v>0.37473666366176334</v>
      </c>
      <c r="F72" s="360">
        <v>0.23936075728833486</v>
      </c>
      <c r="G72" s="361">
        <v>1.4364527693272269</v>
      </c>
      <c r="H72" s="361">
        <v>1.5448319293271313</v>
      </c>
      <c r="I72" s="360">
        <v>8.2216067064240603E-2</v>
      </c>
      <c r="J72" s="360">
        <v>0.40603906809638701</v>
      </c>
      <c r="K72" s="360">
        <v>2.9980000000000003E-2</v>
      </c>
      <c r="L72" s="360">
        <v>0.15314560322006773</v>
      </c>
      <c r="M72" s="360">
        <v>7.2976690664018407E-2</v>
      </c>
      <c r="N72" s="361">
        <v>3.4633208322498397</v>
      </c>
      <c r="O72" s="361">
        <v>2.0622277256162804</v>
      </c>
      <c r="P72" s="361">
        <v>12.587836152496534</v>
      </c>
      <c r="Q72" s="361">
        <v>16.492777890733734</v>
      </c>
      <c r="R72" s="361">
        <v>40.067052559766651</v>
      </c>
      <c r="S72" s="361">
        <v>140.10936326540158</v>
      </c>
      <c r="T72" s="360">
        <v>4.4594775385069403E-2</v>
      </c>
      <c r="U72" s="360">
        <v>2.0684112057608384E-2</v>
      </c>
      <c r="V72" s="360">
        <v>2.0227784508702832E-3</v>
      </c>
      <c r="W72" s="360">
        <v>-0.26454073195651945</v>
      </c>
      <c r="X72" s="360">
        <v>2.686575363030675E-3</v>
      </c>
      <c r="Y72" s="360">
        <v>0.45505512006155618</v>
      </c>
      <c r="Z72" s="360">
        <v>0.45505512006155624</v>
      </c>
      <c r="AA72" s="362">
        <v>0.12505116505894562</v>
      </c>
    </row>
    <row r="73" spans="1:27" ht="14">
      <c r="A73" s="359" t="s">
        <v>577</v>
      </c>
      <c r="B73" s="144">
        <v>85</v>
      </c>
      <c r="C73" s="360">
        <v>4.6722708333333321E-2</v>
      </c>
      <c r="D73" s="360">
        <v>7.6995241319133698E-2</v>
      </c>
      <c r="E73" s="360">
        <v>0.11673794881176164</v>
      </c>
      <c r="F73" s="360">
        <v>0.25020494886257216</v>
      </c>
      <c r="G73" s="361">
        <v>0.75449309625563588</v>
      </c>
      <c r="H73" s="361">
        <v>0.97096425188941826</v>
      </c>
      <c r="I73" s="360">
        <v>5.5129512689180538E-2</v>
      </c>
      <c r="J73" s="360">
        <v>0.41974260521720291</v>
      </c>
      <c r="K73" s="360">
        <v>2.9980000000000003E-2</v>
      </c>
      <c r="L73" s="360">
        <v>0.31383121292981025</v>
      </c>
      <c r="M73" s="360">
        <v>4.4696472481159717E-2</v>
      </c>
      <c r="N73" s="361">
        <v>1.6830973049227915</v>
      </c>
      <c r="O73" s="361">
        <v>1.4939726023257278</v>
      </c>
      <c r="P73" s="361">
        <v>13.87615007968248</v>
      </c>
      <c r="Q73" s="361">
        <v>18.778751898007332</v>
      </c>
      <c r="R73" s="361">
        <v>3.3874229957444038</v>
      </c>
      <c r="S73" s="361">
        <v>138.4448999428416</v>
      </c>
      <c r="T73" s="360">
        <v>0.15537128690004551</v>
      </c>
      <c r="U73" s="360">
        <v>3.6818384306778341E-2</v>
      </c>
      <c r="V73" s="360">
        <v>5.0780477336164566E-2</v>
      </c>
      <c r="W73" s="360">
        <v>0.63113877989330724</v>
      </c>
      <c r="X73" s="360">
        <v>9.6715449262605488E-2</v>
      </c>
      <c r="Y73" s="360">
        <v>0.52365958147211733</v>
      </c>
      <c r="Z73" s="360">
        <v>0.52365958147211733</v>
      </c>
      <c r="AA73" s="362">
        <v>7.9007416643132877E-2</v>
      </c>
    </row>
    <row r="74" spans="1:27" ht="14">
      <c r="A74" s="359" t="s">
        <v>578</v>
      </c>
      <c r="B74" s="144">
        <v>17</v>
      </c>
      <c r="C74" s="360">
        <v>2.4121428571428565E-2</v>
      </c>
      <c r="D74" s="360">
        <v>4.6295710867184911E-2</v>
      </c>
      <c r="E74" s="360">
        <v>0.14673499048151145</v>
      </c>
      <c r="F74" s="360">
        <v>0.24420249386604162</v>
      </c>
      <c r="G74" s="361">
        <v>0.8158161595249539</v>
      </c>
      <c r="H74" s="361">
        <v>0.89897819867715811</v>
      </c>
      <c r="I74" s="360">
        <v>5.1731770977561861E-2</v>
      </c>
      <c r="J74" s="360">
        <v>0.38910866422167528</v>
      </c>
      <c r="K74" s="360">
        <v>2.58E-2</v>
      </c>
      <c r="L74" s="360">
        <v>0.17589407943441762</v>
      </c>
      <c r="M74" s="360">
        <v>4.5945247836019318E-2</v>
      </c>
      <c r="N74" s="361">
        <v>4.0972805811128481</v>
      </c>
      <c r="O74" s="361">
        <v>0.9340125081690106</v>
      </c>
      <c r="P74" s="361">
        <v>12.294282269885292</v>
      </c>
      <c r="Q74" s="361">
        <v>22.811510729590694</v>
      </c>
      <c r="R74" s="361">
        <v>5.4346085713299237</v>
      </c>
      <c r="S74" s="361">
        <v>22.701744745699372</v>
      </c>
      <c r="T74" s="360">
        <v>5.8014148464668775E-4</v>
      </c>
      <c r="U74" s="360">
        <v>2.0052800278028426E-2</v>
      </c>
      <c r="V74" s="360">
        <v>2.2870350403747554E-4</v>
      </c>
      <c r="W74" s="360">
        <v>-0.42799778712423159</v>
      </c>
      <c r="X74" s="360">
        <v>0.20640612917682921</v>
      </c>
      <c r="Y74" s="360">
        <v>0.36119871746793664</v>
      </c>
      <c r="Z74" s="360">
        <v>0.36119871746793664</v>
      </c>
      <c r="AA74" s="362">
        <v>4.0922063266365161E-2</v>
      </c>
    </row>
    <row r="75" spans="1:27" ht="14">
      <c r="A75" s="359" t="s">
        <v>579</v>
      </c>
      <c r="B75" s="144">
        <v>14</v>
      </c>
      <c r="C75" s="360">
        <v>6.2785714285714292E-2</v>
      </c>
      <c r="D75" s="360">
        <v>3.4779444708806617E-2</v>
      </c>
      <c r="E75" s="360">
        <v>9.6279911039397675E-2</v>
      </c>
      <c r="F75" s="360">
        <v>0.23434607862763521</v>
      </c>
      <c r="G75" s="361">
        <v>0.1522248643717008</v>
      </c>
      <c r="H75" s="361">
        <v>0.24210864998201992</v>
      </c>
      <c r="I75" s="360">
        <v>2.0727528279151339E-2</v>
      </c>
      <c r="J75" s="360">
        <v>0.37718928732646201</v>
      </c>
      <c r="K75" s="360">
        <v>2.58E-2</v>
      </c>
      <c r="L75" s="360">
        <v>0.48543831871077164</v>
      </c>
      <c r="M75" s="360">
        <v>1.9808337094888814E-2</v>
      </c>
      <c r="N75" s="361">
        <v>4.1134268219238068</v>
      </c>
      <c r="O75" s="361">
        <v>0.38776793300135814</v>
      </c>
      <c r="P75" s="361">
        <v>5.7468993960427213</v>
      </c>
      <c r="Q75" s="361">
        <v>14.309495478867953</v>
      </c>
      <c r="R75" s="361">
        <v>2.5056801114773628</v>
      </c>
      <c r="S75" s="361">
        <v>14.413462025265975</v>
      </c>
      <c r="T75" s="360">
        <v>-1.9838027348915957E-3</v>
      </c>
      <c r="U75" s="360">
        <v>2.2882199540951748E-2</v>
      </c>
      <c r="V75" s="360">
        <v>1.1046969695747576E-3</v>
      </c>
      <c r="W75" s="360">
        <v>-0.14716520493103935</v>
      </c>
      <c r="X75" s="360">
        <v>0.30626515873294846</v>
      </c>
      <c r="Y75" s="360">
        <v>0.12848662715142539</v>
      </c>
      <c r="Z75" s="360">
        <v>0.12848662715142534</v>
      </c>
      <c r="AA75" s="362">
        <v>2.7066363205398937E-2</v>
      </c>
    </row>
    <row r="76" spans="1:27" ht="14">
      <c r="A76" s="359" t="s">
        <v>580</v>
      </c>
      <c r="B76" s="144">
        <v>75</v>
      </c>
      <c r="C76" s="360">
        <v>9.2834137931034511E-2</v>
      </c>
      <c r="D76" s="360">
        <v>5.7372759382091278E-2</v>
      </c>
      <c r="E76" s="360">
        <v>0.11041784163396202</v>
      </c>
      <c r="F76" s="360">
        <v>0.16129555163492154</v>
      </c>
      <c r="G76" s="361">
        <v>1.1376905330729945</v>
      </c>
      <c r="H76" s="361">
        <v>1.1641204247505164</v>
      </c>
      <c r="I76" s="360">
        <v>6.4246484048224375E-2</v>
      </c>
      <c r="J76" s="360">
        <v>0.5286592105592185</v>
      </c>
      <c r="K76" s="360">
        <v>2.9980000000000003E-2</v>
      </c>
      <c r="L76" s="360">
        <v>6.6688996192631633E-2</v>
      </c>
      <c r="M76" s="360">
        <v>6.1421465875416595E-2</v>
      </c>
      <c r="N76" s="361">
        <v>1.800799944356819</v>
      </c>
      <c r="O76" s="361">
        <v>4.706890357997243</v>
      </c>
      <c r="P76" s="361">
        <v>33.186332533470555</v>
      </c>
      <c r="Q76" s="361">
        <v>83.834248001141233</v>
      </c>
      <c r="R76" s="361">
        <v>18.624375683722551</v>
      </c>
      <c r="S76" s="361">
        <v>131.27291479009298</v>
      </c>
      <c r="T76" s="360">
        <v>-3.6977265241939838E-2</v>
      </c>
      <c r="U76" s="360">
        <v>7.7245105753089294E-2</v>
      </c>
      <c r="V76" s="360">
        <v>3.5451473830388706E-2</v>
      </c>
      <c r="W76" s="360">
        <v>0.55368646919442088</v>
      </c>
      <c r="X76" s="360">
        <v>0.27054629081222981</v>
      </c>
      <c r="Y76" s="360">
        <v>5.6606717324238713E-2</v>
      </c>
      <c r="Z76" s="360">
        <v>5.660671732423872E-2</v>
      </c>
      <c r="AA76" s="362">
        <v>6.2852935955527836E-2</v>
      </c>
    </row>
    <row r="77" spans="1:27" ht="14">
      <c r="A77" s="359" t="s">
        <v>581</v>
      </c>
      <c r="B77" s="144">
        <v>85</v>
      </c>
      <c r="C77" s="360">
        <v>5.5705714285714282E-2</v>
      </c>
      <c r="D77" s="360">
        <v>2.8917338857007716E-2</v>
      </c>
      <c r="E77" s="360">
        <v>5.2896334413657438E-2</v>
      </c>
      <c r="F77" s="360">
        <v>0.24552721852134185</v>
      </c>
      <c r="G77" s="361">
        <v>1.0368527310405244</v>
      </c>
      <c r="H77" s="361">
        <v>1.2820025541587099</v>
      </c>
      <c r="I77" s="360">
        <v>6.9810520556291111E-2</v>
      </c>
      <c r="J77" s="360">
        <v>0.49009457304730047</v>
      </c>
      <c r="K77" s="360">
        <v>2.9980000000000003E-2</v>
      </c>
      <c r="L77" s="360">
        <v>0.32550445482921975</v>
      </c>
      <c r="M77" s="360">
        <v>5.4210680316990945E-2</v>
      </c>
      <c r="N77" s="361">
        <v>2.294482687456437</v>
      </c>
      <c r="O77" s="361">
        <v>1.1005434739152702</v>
      </c>
      <c r="P77" s="361">
        <v>11.399676175611779</v>
      </c>
      <c r="Q77" s="361">
        <v>43.753030514934892</v>
      </c>
      <c r="R77" s="361">
        <v>5.5134424211860349</v>
      </c>
      <c r="S77" s="361">
        <v>55.991884110178958</v>
      </c>
      <c r="T77" s="360">
        <v>4.7494439458487206E-2</v>
      </c>
      <c r="U77" s="360">
        <v>1.7848599906423814E-2</v>
      </c>
      <c r="V77" s="360">
        <v>5.0425815744955832E-4</v>
      </c>
      <c r="W77" s="360">
        <v>-1.7933947942274442</v>
      </c>
      <c r="X77" s="360">
        <v>-6.4035840075275909E-3</v>
      </c>
      <c r="Y77" s="360">
        <v>3.1960871250854409E-3</v>
      </c>
      <c r="Z77" s="360">
        <v>3.1960871250854561E-3</v>
      </c>
      <c r="AA77" s="362">
        <v>2.5064988173618206E-2</v>
      </c>
    </row>
    <row r="78" spans="1:27" ht="14">
      <c r="A78" s="359" t="s">
        <v>582</v>
      </c>
      <c r="B78" s="144">
        <v>3</v>
      </c>
      <c r="C78" s="360">
        <v>-4.2133333333333335E-2</v>
      </c>
      <c r="D78" s="360">
        <v>-4.9664958348436608E-3</v>
      </c>
      <c r="E78" s="360">
        <v>1.0380134134452082E-4</v>
      </c>
      <c r="F78" s="360">
        <v>0.15903459134450276</v>
      </c>
      <c r="G78" s="361">
        <v>0.54799639856468163</v>
      </c>
      <c r="H78" s="361">
        <v>1.0939555482653982</v>
      </c>
      <c r="I78" s="360">
        <v>6.0934701878126787E-2</v>
      </c>
      <c r="J78" s="360">
        <v>0.43827239010407376</v>
      </c>
      <c r="K78" s="360">
        <v>2.9980000000000003E-2</v>
      </c>
      <c r="L78" s="360">
        <v>0.63623408248017566</v>
      </c>
      <c r="M78" s="360">
        <v>3.6090205126205394E-2</v>
      </c>
      <c r="N78" s="361">
        <v>1.0683496657652694</v>
      </c>
      <c r="O78" s="361">
        <v>0.74063296455059391</v>
      </c>
      <c r="P78" s="361">
        <v>9.8411681981767494</v>
      </c>
      <c r="Q78" s="361" t="s">
        <v>98</v>
      </c>
      <c r="R78" s="361">
        <v>1.044917656279905</v>
      </c>
      <c r="S78" s="361">
        <v>24.892802164704982</v>
      </c>
      <c r="T78" s="360">
        <v>0.13627166748967001</v>
      </c>
      <c r="U78" s="360">
        <v>5.6250816582367448E-2</v>
      </c>
      <c r="V78" s="360">
        <v>-5.3268306017885516E-3</v>
      </c>
      <c r="W78" s="360" t="s">
        <v>98</v>
      </c>
      <c r="X78" s="360">
        <v>-0.25686361110008338</v>
      </c>
      <c r="Y78" s="360">
        <v>6.7584881486226777E-4</v>
      </c>
      <c r="Z78" s="360">
        <v>6.7584881486226767E-4</v>
      </c>
      <c r="AA78" s="362">
        <v>8.4711470916790002E-5</v>
      </c>
    </row>
    <row r="79" spans="1:27" ht="14">
      <c r="A79" s="359" t="s">
        <v>583</v>
      </c>
      <c r="B79" s="144">
        <v>70</v>
      </c>
      <c r="C79" s="360">
        <v>3.7705208333333323E-2</v>
      </c>
      <c r="D79" s="360">
        <v>0.24090189851762001</v>
      </c>
      <c r="E79" s="360">
        <v>0.17390673660088912</v>
      </c>
      <c r="F79" s="360">
        <v>0.10767179368946722</v>
      </c>
      <c r="G79" s="361">
        <v>0.96170327051580207</v>
      </c>
      <c r="H79" s="361">
        <v>1.0019932071355018</v>
      </c>
      <c r="I79" s="360">
        <v>5.6594079376795683E-2</v>
      </c>
      <c r="J79" s="360">
        <v>0.37255273863798521</v>
      </c>
      <c r="K79" s="360">
        <v>2.58E-2</v>
      </c>
      <c r="L79" s="360">
        <v>8.8512290348895808E-2</v>
      </c>
      <c r="M79" s="360">
        <v>5.3251848267399392E-2</v>
      </c>
      <c r="N79" s="361">
        <v>0.7480023912643442</v>
      </c>
      <c r="O79" s="361">
        <v>7.1590845870761628</v>
      </c>
      <c r="P79" s="361">
        <v>18.043377965076608</v>
      </c>
      <c r="Q79" s="361">
        <v>29.301109086416297</v>
      </c>
      <c r="R79" s="361">
        <v>6.8747247903342048</v>
      </c>
      <c r="S79" s="361">
        <v>726.52219693530583</v>
      </c>
      <c r="T79" s="360">
        <v>0.17435415119284708</v>
      </c>
      <c r="U79" s="360">
        <v>0.12761336836612591</v>
      </c>
      <c r="V79" s="360">
        <v>0.1606080271258418</v>
      </c>
      <c r="W79" s="360">
        <v>0.79832818403484462</v>
      </c>
      <c r="X79" s="360">
        <v>0.22132843436176297</v>
      </c>
      <c r="Y79" s="360">
        <v>0.42101889794196617</v>
      </c>
      <c r="Z79" s="360">
        <v>0.42101889794196623</v>
      </c>
      <c r="AA79" s="362">
        <v>0.24792674895127001</v>
      </c>
    </row>
    <row r="80" spans="1:27" ht="14">
      <c r="A80" s="359" t="s">
        <v>584</v>
      </c>
      <c r="B80" s="144">
        <v>40</v>
      </c>
      <c r="C80" s="360">
        <v>8.4924999999999973E-2</v>
      </c>
      <c r="D80" s="360">
        <v>0.22214383974230267</v>
      </c>
      <c r="E80" s="360">
        <v>0.27892537443467325</v>
      </c>
      <c r="F80" s="360">
        <v>0.1283245337282424</v>
      </c>
      <c r="G80" s="361">
        <v>1.0688501095696221</v>
      </c>
      <c r="H80" s="361">
        <v>1.0703806513615421</v>
      </c>
      <c r="I80" s="360">
        <v>5.9821966744264793E-2</v>
      </c>
      <c r="J80" s="360">
        <v>0.35905521681427532</v>
      </c>
      <c r="K80" s="360">
        <v>2.58E-2</v>
      </c>
      <c r="L80" s="360">
        <v>7.4357671918065346E-2</v>
      </c>
      <c r="M80" s="360">
        <v>5.6774196960506181E-2</v>
      </c>
      <c r="N80" s="361">
        <v>1.2955167484418966</v>
      </c>
      <c r="O80" s="361">
        <v>5.1438517688976919</v>
      </c>
      <c r="P80" s="361">
        <v>18.692654437299094</v>
      </c>
      <c r="Q80" s="361">
        <v>22.856391580514028</v>
      </c>
      <c r="R80" s="361">
        <v>7.8717905246460385</v>
      </c>
      <c r="S80" s="361">
        <v>55.871007175483264</v>
      </c>
      <c r="T80" s="360">
        <v>0.27818447663763024</v>
      </c>
      <c r="U80" s="360">
        <v>3.7117231234130667E-2</v>
      </c>
      <c r="V80" s="360">
        <v>1.1627942992143444E-2</v>
      </c>
      <c r="W80" s="360">
        <v>0.2859438641860631</v>
      </c>
      <c r="X80" s="360">
        <v>0.32234700585446124</v>
      </c>
      <c r="Y80" s="360">
        <v>0.23308749981213911</v>
      </c>
      <c r="Z80" s="360">
        <v>0.23308749981213905</v>
      </c>
      <c r="AA80" s="362">
        <v>0.231831627226387</v>
      </c>
    </row>
    <row r="81" spans="1:27" ht="14">
      <c r="A81" s="359" t="s">
        <v>585</v>
      </c>
      <c r="B81" s="144">
        <v>11</v>
      </c>
      <c r="C81" s="360">
        <v>3.1014285714285713E-2</v>
      </c>
      <c r="D81" s="360">
        <v>5.1113434544620161E-2</v>
      </c>
      <c r="E81" s="360">
        <v>3.7414109312367563E-2</v>
      </c>
      <c r="F81" s="360">
        <v>0.2439167399589563</v>
      </c>
      <c r="G81" s="361">
        <v>0.74411575199704472</v>
      </c>
      <c r="H81" s="361">
        <v>1.035148855900927</v>
      </c>
      <c r="I81" s="360">
        <v>5.8159025998523753E-2</v>
      </c>
      <c r="J81" s="360">
        <v>0.29830196285017457</v>
      </c>
      <c r="K81" s="360">
        <v>2.58E-2</v>
      </c>
      <c r="L81" s="360">
        <v>0.38330558536377457</v>
      </c>
      <c r="M81" s="360">
        <v>4.308552388871395E-2</v>
      </c>
      <c r="N81" s="361">
        <v>0.67617894074980467</v>
      </c>
      <c r="O81" s="361">
        <v>1.7395230517207627</v>
      </c>
      <c r="P81" s="361">
        <v>10.668320496769473</v>
      </c>
      <c r="Q81" s="361">
        <v>30.643960861814708</v>
      </c>
      <c r="R81" s="361">
        <v>1.1313888455192476</v>
      </c>
      <c r="S81" s="361">
        <v>49.987186364820744</v>
      </c>
      <c r="T81" s="360">
        <v>8.5723657546927276E-2</v>
      </c>
      <c r="U81" s="360">
        <v>9.7284894475642564E-2</v>
      </c>
      <c r="V81" s="360">
        <v>7.1007492284571178E-2</v>
      </c>
      <c r="W81" s="360">
        <v>1.2447679087535939</v>
      </c>
      <c r="X81" s="360">
        <v>-5.6970519840972178E-2</v>
      </c>
      <c r="Y81" s="360">
        <v>1.5678310316815599E-3</v>
      </c>
      <c r="Z81" s="360">
        <v>1.5678310316815658E-3</v>
      </c>
      <c r="AA81" s="362">
        <v>5.6632046024762447E-2</v>
      </c>
    </row>
    <row r="82" spans="1:27" ht="14">
      <c r="A82" s="359" t="s">
        <v>586</v>
      </c>
      <c r="B82" s="144">
        <v>11</v>
      </c>
      <c r="C82" s="360">
        <v>-1.1125000000000006E-3</v>
      </c>
      <c r="D82" s="360">
        <v>9.2155065647776271E-2</v>
      </c>
      <c r="E82" s="360">
        <v>0.20895913003172306</v>
      </c>
      <c r="F82" s="360">
        <v>0.13438008307011218</v>
      </c>
      <c r="G82" s="361">
        <v>0.978275005705732</v>
      </c>
      <c r="H82" s="361">
        <v>0.98320921840400222</v>
      </c>
      <c r="I82" s="360">
        <v>5.57074751086689E-2</v>
      </c>
      <c r="J82" s="360">
        <v>0.31504947071599709</v>
      </c>
      <c r="K82" s="360">
        <v>2.58E-2</v>
      </c>
      <c r="L82" s="360">
        <v>6.4293070805614666E-2</v>
      </c>
      <c r="M82" s="360">
        <v>5.3336766162658179E-2</v>
      </c>
      <c r="N82" s="361">
        <v>2.5047178788505673</v>
      </c>
      <c r="O82" s="361">
        <v>5.0458322546184595</v>
      </c>
      <c r="P82" s="361">
        <v>35.832925338054658</v>
      </c>
      <c r="Q82" s="361">
        <v>56.487971693198233</v>
      </c>
      <c r="R82" s="361">
        <v>14.870008712382473</v>
      </c>
      <c r="S82" s="361">
        <v>46.18128726931203</v>
      </c>
      <c r="T82" s="360">
        <v>0.20382738278043069</v>
      </c>
      <c r="U82" s="360">
        <v>7.6179120775448673E-3</v>
      </c>
      <c r="V82" s="360">
        <v>-2.1254624249029949E-2</v>
      </c>
      <c r="W82" s="360">
        <v>-0.30661254345367106</v>
      </c>
      <c r="X82" s="360">
        <v>0.23700994672881648</v>
      </c>
      <c r="Y82" s="360">
        <v>0.48274925554409281</v>
      </c>
      <c r="Z82" s="360">
        <v>0.48274925554409287</v>
      </c>
      <c r="AA82" s="362">
        <v>8.9345350822231981E-2</v>
      </c>
    </row>
    <row r="83" spans="1:27" ht="14">
      <c r="A83" s="359" t="s">
        <v>587</v>
      </c>
      <c r="B83" s="144">
        <v>101</v>
      </c>
      <c r="C83" s="360">
        <v>-4.1290476190476121E-3</v>
      </c>
      <c r="D83" s="360">
        <v>0.20610436169824337</v>
      </c>
      <c r="E83" s="360">
        <v>0.14733514240062395</v>
      </c>
      <c r="F83" s="360">
        <v>0.12015444977232942</v>
      </c>
      <c r="G83" s="361">
        <v>0.95954502502391559</v>
      </c>
      <c r="H83" s="361">
        <v>0.95869522130184004</v>
      </c>
      <c r="I83" s="360">
        <v>5.4550414445446851E-2</v>
      </c>
      <c r="J83" s="360">
        <v>0.62614076427444454</v>
      </c>
      <c r="K83" s="360">
        <v>2.9980000000000003E-2</v>
      </c>
      <c r="L83" s="360">
        <v>2.5492110851799844E-2</v>
      </c>
      <c r="M83" s="360">
        <v>5.3717714276227881E-2</v>
      </c>
      <c r="N83" s="361">
        <v>0.67962241763856612</v>
      </c>
      <c r="O83" s="361">
        <v>8.1627602634263159</v>
      </c>
      <c r="P83" s="361">
        <v>25.090060525473032</v>
      </c>
      <c r="Q83" s="361">
        <v>38.042802515274332</v>
      </c>
      <c r="R83" s="361">
        <v>6.2332605322486296</v>
      </c>
      <c r="S83" s="361">
        <v>157.38488806622505</v>
      </c>
      <c r="T83" s="360">
        <v>5.4058217694795588E-2</v>
      </c>
      <c r="U83" s="360">
        <v>0.14038188523708567</v>
      </c>
      <c r="V83" s="360">
        <v>9.9365057264658149E-2</v>
      </c>
      <c r="W83" s="360">
        <v>0.67796023252177173</v>
      </c>
      <c r="X83" s="360">
        <v>0.17714237086811832</v>
      </c>
      <c r="Y83" s="360">
        <v>2.6307825084575299E-3</v>
      </c>
      <c r="Z83" s="360">
        <v>2.6307825084574965E-3</v>
      </c>
      <c r="AA83" s="362">
        <v>0.21793855131962409</v>
      </c>
    </row>
    <row r="84" spans="1:27" ht="14">
      <c r="A84" s="359" t="s">
        <v>588</v>
      </c>
      <c r="B84" s="144">
        <v>36</v>
      </c>
      <c r="C84" s="360">
        <v>0.19335999999999998</v>
      </c>
      <c r="D84" s="360">
        <v>5.0594389689158463E-2</v>
      </c>
      <c r="E84" s="360">
        <v>6.6577543017666024E-2</v>
      </c>
      <c r="F84" s="360">
        <v>5.9713980813176741E-2</v>
      </c>
      <c r="G84" s="361">
        <v>0.74898294638115781</v>
      </c>
      <c r="H84" s="361">
        <v>0.77312978172487734</v>
      </c>
      <c r="I84" s="360">
        <v>4.5791725697414215E-2</v>
      </c>
      <c r="J84" s="360">
        <v>0.32725130712188061</v>
      </c>
      <c r="K84" s="360">
        <v>2.58E-2</v>
      </c>
      <c r="L84" s="360">
        <v>8.1145704834729326E-2</v>
      </c>
      <c r="M84" s="360">
        <v>4.3604222044956245E-2</v>
      </c>
      <c r="N84" s="361">
        <v>1.0056969705736849</v>
      </c>
      <c r="O84" s="361">
        <v>15.670513651651863</v>
      </c>
      <c r="P84" s="361">
        <v>19.20812597236386</v>
      </c>
      <c r="Q84" s="361">
        <v>95.438933520365097</v>
      </c>
      <c r="R84" s="361">
        <v>15.18744917520298</v>
      </c>
      <c r="S84" s="361">
        <v>67.888620201828758</v>
      </c>
      <c r="T84" s="360">
        <v>0.10575986297138683</v>
      </c>
      <c r="U84" s="360">
        <v>7.8989863252183184E-2</v>
      </c>
      <c r="V84" s="360">
        <v>6.9501945918625185E-2</v>
      </c>
      <c r="W84" s="360">
        <v>2.1723853476849091</v>
      </c>
      <c r="X84" s="360">
        <v>-0.11228566914958794</v>
      </c>
      <c r="Y84" s="360">
        <v>1.7811704834605599E-3</v>
      </c>
      <c r="Z84" s="360">
        <v>1.7811704834606035E-3</v>
      </c>
      <c r="AA84" s="362">
        <v>6.7784277223050943E-2</v>
      </c>
    </row>
    <row r="85" spans="1:27" ht="14">
      <c r="A85" s="359" t="s">
        <v>589</v>
      </c>
      <c r="B85" s="144">
        <v>388</v>
      </c>
      <c r="C85" s="360">
        <v>0.18927503401360543</v>
      </c>
      <c r="D85" s="360">
        <v>0.23304335184880492</v>
      </c>
      <c r="E85" s="360">
        <v>0.22277139598413231</v>
      </c>
      <c r="F85" s="360">
        <v>0.14135251695865048</v>
      </c>
      <c r="G85" s="361">
        <v>0.89400941477803386</v>
      </c>
      <c r="H85" s="361">
        <v>0.91168721295005339</v>
      </c>
      <c r="I85" s="360">
        <v>5.2331636451242516E-2</v>
      </c>
      <c r="J85" s="360">
        <v>0.47970590019284548</v>
      </c>
      <c r="K85" s="360">
        <v>2.9980000000000003E-2</v>
      </c>
      <c r="L85" s="360">
        <v>6.1498960853356731E-2</v>
      </c>
      <c r="M85" s="360">
        <v>5.0459224547595508E-2</v>
      </c>
      <c r="N85" s="361">
        <v>0.91830981240800669</v>
      </c>
      <c r="O85" s="361">
        <v>11.823495715635733</v>
      </c>
      <c r="P85" s="361">
        <v>30.423805681689416</v>
      </c>
      <c r="Q85" s="361">
        <v>43.934979084480268</v>
      </c>
      <c r="R85" s="361">
        <v>14.073826222631265</v>
      </c>
      <c r="S85" s="361">
        <v>148.99150403292035</v>
      </c>
      <c r="T85" s="360">
        <v>0.13148461542558323</v>
      </c>
      <c r="U85" s="360">
        <v>6.8036838833674437E-2</v>
      </c>
      <c r="V85" s="360">
        <v>5.5987028224454942E-2</v>
      </c>
      <c r="W85" s="360">
        <v>0.33689033745131231</v>
      </c>
      <c r="X85" s="360">
        <v>0.28087977508472173</v>
      </c>
      <c r="Y85" s="360">
        <v>0.29353987792074177</v>
      </c>
      <c r="Z85" s="360">
        <v>0.29353987792074177</v>
      </c>
      <c r="AA85" s="362">
        <v>0.24903781079295109</v>
      </c>
    </row>
    <row r="86" spans="1:27" ht="14">
      <c r="A86" s="359" t="s">
        <v>590</v>
      </c>
      <c r="B86" s="144">
        <v>32</v>
      </c>
      <c r="C86" s="360">
        <v>4.7231818181818182E-3</v>
      </c>
      <c r="D86" s="360">
        <v>3.553259633998463E-2</v>
      </c>
      <c r="E86" s="360">
        <v>5.8100247248397074E-2</v>
      </c>
      <c r="F86" s="360">
        <v>0.24528834477698491</v>
      </c>
      <c r="G86" s="361">
        <v>0.78484085286834249</v>
      </c>
      <c r="H86" s="361">
        <v>0.95267432662315499</v>
      </c>
      <c r="I86" s="360">
        <v>5.4266228216612908E-2</v>
      </c>
      <c r="J86" s="360">
        <v>0.39319155229808395</v>
      </c>
      <c r="K86" s="360">
        <v>2.58E-2</v>
      </c>
      <c r="L86" s="360">
        <v>0.33440204084678338</v>
      </c>
      <c r="M86" s="360">
        <v>4.2417618789228569E-2</v>
      </c>
      <c r="N86" s="361">
        <v>1.7027174008564028</v>
      </c>
      <c r="O86" s="361">
        <v>0.93481481073420414</v>
      </c>
      <c r="P86" s="361">
        <v>9.7390031891988702</v>
      </c>
      <c r="Q86" s="361">
        <v>23.061200217062375</v>
      </c>
      <c r="R86" s="361">
        <v>1.5528479464148082</v>
      </c>
      <c r="S86" s="361">
        <v>35.726079443105931</v>
      </c>
      <c r="T86" s="360">
        <v>0.21691105123338691</v>
      </c>
      <c r="U86" s="360">
        <v>6.9582397129241025E-2</v>
      </c>
      <c r="V86" s="360">
        <v>5.5734411806729507E-2</v>
      </c>
      <c r="W86" s="360">
        <v>0.2849257135685403</v>
      </c>
      <c r="X86" s="360">
        <v>-2.8409504493084305E-2</v>
      </c>
      <c r="Y86" s="360">
        <v>6.4673007856719126E-3</v>
      </c>
      <c r="Z86" s="360">
        <v>6.4673007856719256E-3</v>
      </c>
      <c r="AA86" s="362">
        <v>3.6302027971648762E-2</v>
      </c>
    </row>
    <row r="87" spans="1:27" ht="14">
      <c r="A87" s="359" t="s">
        <v>591</v>
      </c>
      <c r="B87" s="144">
        <v>16</v>
      </c>
      <c r="C87" s="360">
        <v>6.5274285714285715E-2</v>
      </c>
      <c r="D87" s="360">
        <v>0.12481677647749129</v>
      </c>
      <c r="E87" s="360">
        <v>0.10222796915324003</v>
      </c>
      <c r="F87" s="360">
        <v>0.22645519947678222</v>
      </c>
      <c r="G87" s="361">
        <v>0.39285404261553991</v>
      </c>
      <c r="H87" s="361">
        <v>0.53101428219938829</v>
      </c>
      <c r="I87" s="360">
        <v>3.4363874119811122E-2</v>
      </c>
      <c r="J87" s="360">
        <v>0.39778913844087938</v>
      </c>
      <c r="K87" s="360">
        <v>2.58E-2</v>
      </c>
      <c r="L87" s="360">
        <v>0.35304680875165795</v>
      </c>
      <c r="M87" s="360">
        <v>2.8881101621496843E-2</v>
      </c>
      <c r="N87" s="361">
        <v>0.83735143301257098</v>
      </c>
      <c r="O87" s="361">
        <v>3.6701715389319451</v>
      </c>
      <c r="P87" s="361">
        <v>10.141158263225391</v>
      </c>
      <c r="Q87" s="361">
        <v>29.546652439145003</v>
      </c>
      <c r="R87" s="361">
        <v>2.3555939669087431</v>
      </c>
      <c r="S87" s="361">
        <v>24.683121593527087</v>
      </c>
      <c r="T87" s="360">
        <v>0.10992374328413039</v>
      </c>
      <c r="U87" s="360">
        <v>0.15333720134670512</v>
      </c>
      <c r="V87" s="360">
        <v>3.5152271971679153E-2</v>
      </c>
      <c r="W87" s="360">
        <v>1.6819529435066813</v>
      </c>
      <c r="X87" s="360">
        <v>8.9103963545738712E-2</v>
      </c>
      <c r="Y87" s="360">
        <v>3.0359061705207489E-2</v>
      </c>
      <c r="Z87" s="360">
        <v>3.0359061705207524E-2</v>
      </c>
      <c r="AA87" s="362">
        <v>0.12651859108818381</v>
      </c>
    </row>
    <row r="88" spans="1:27" ht="14">
      <c r="A88" s="359" t="s">
        <v>592</v>
      </c>
      <c r="B88" s="144">
        <v>96</v>
      </c>
      <c r="C88" s="360">
        <v>0.31647482758620687</v>
      </c>
      <c r="D88" s="360">
        <v>0.18687314795663049</v>
      </c>
      <c r="E88" s="360">
        <v>0.21798778520816608</v>
      </c>
      <c r="F88" s="360">
        <v>0.17902419010153528</v>
      </c>
      <c r="G88" s="361">
        <v>0.83218990324212128</v>
      </c>
      <c r="H88" s="361">
        <v>0.86937365219195228</v>
      </c>
      <c r="I88" s="360">
        <v>5.0334436383460149E-2</v>
      </c>
      <c r="J88" s="360">
        <v>0.43108480142025429</v>
      </c>
      <c r="K88" s="360">
        <v>2.9980000000000003E-2</v>
      </c>
      <c r="L88" s="360">
        <v>0.12890225671719946</v>
      </c>
      <c r="M88" s="360">
        <v>4.6667291392202423E-2</v>
      </c>
      <c r="N88" s="361">
        <v>1.2025076456352379</v>
      </c>
      <c r="O88" s="361">
        <v>3.5641828955814892</v>
      </c>
      <c r="P88" s="361">
        <v>13.922166632416614</v>
      </c>
      <c r="Q88" s="361">
        <v>18.523992372505774</v>
      </c>
      <c r="R88" s="361">
        <v>4.8399815238650383</v>
      </c>
      <c r="S88" s="361">
        <v>50.678124744497509</v>
      </c>
      <c r="T88" s="360">
        <v>0.16836471254894772</v>
      </c>
      <c r="U88" s="360">
        <v>2.9482769947348272E-2</v>
      </c>
      <c r="V88" s="360">
        <v>3.3473393450261651E-2</v>
      </c>
      <c r="W88" s="360">
        <v>0.11714492463095033</v>
      </c>
      <c r="X88" s="360">
        <v>0.17100403472629144</v>
      </c>
      <c r="Y88" s="360">
        <v>0.64707059160567149</v>
      </c>
      <c r="Z88" s="360">
        <v>0.64707059160567149</v>
      </c>
      <c r="AA88" s="362">
        <v>0.18855833258388299</v>
      </c>
    </row>
    <row r="89" spans="1:27" ht="14">
      <c r="A89" s="359" t="s">
        <v>593</v>
      </c>
      <c r="B89" s="144">
        <v>58</v>
      </c>
      <c r="C89" s="360">
        <v>7.7909583333333324E-2</v>
      </c>
      <c r="D89" s="360">
        <v>0.19456609726786683</v>
      </c>
      <c r="E89" s="360">
        <v>0.13777796302969947</v>
      </c>
      <c r="F89" s="360">
        <v>0.16707497661242765</v>
      </c>
      <c r="G89" s="361">
        <v>0.42180941298328112</v>
      </c>
      <c r="H89" s="361">
        <v>0.65904634489734548</v>
      </c>
      <c r="I89" s="360">
        <v>4.0406987479154707E-2</v>
      </c>
      <c r="J89" s="360">
        <v>0.43529745323644603</v>
      </c>
      <c r="K89" s="360">
        <v>2.9980000000000003E-2</v>
      </c>
      <c r="L89" s="360">
        <v>0.45396794839340282</v>
      </c>
      <c r="M89" s="360">
        <v>3.1998780410253905E-2</v>
      </c>
      <c r="N89" s="361">
        <v>0.75188855600527471</v>
      </c>
      <c r="O89" s="361">
        <v>2.5063851234126462</v>
      </c>
      <c r="P89" s="361">
        <v>6.7612311933973341</v>
      </c>
      <c r="Q89" s="361">
        <v>13.116222031782481</v>
      </c>
      <c r="R89" s="361">
        <v>1.7288217901555876</v>
      </c>
      <c r="S89" s="361">
        <v>22.272683229104771</v>
      </c>
      <c r="T89" s="360">
        <v>1.1846303461981971E-2</v>
      </c>
      <c r="U89" s="360">
        <v>0.1262725136691345</v>
      </c>
      <c r="V89" s="360">
        <v>-2.3647204248838035E-2</v>
      </c>
      <c r="W89" s="360">
        <v>-2.1878837569718146E-2</v>
      </c>
      <c r="X89" s="360">
        <v>0.11268328342687449</v>
      </c>
      <c r="Y89" s="360">
        <v>0.51919159384599822</v>
      </c>
      <c r="Z89" s="360">
        <v>0.51919159384599822</v>
      </c>
      <c r="AA89" s="362">
        <v>0.19073146201563007</v>
      </c>
    </row>
    <row r="90" spans="1:27" ht="14">
      <c r="A90" s="359" t="s">
        <v>594</v>
      </c>
      <c r="B90" s="144">
        <v>15</v>
      </c>
      <c r="C90" s="360">
        <v>0.52823333333333333</v>
      </c>
      <c r="D90" s="360">
        <v>0.42799063533257781</v>
      </c>
      <c r="E90" s="360">
        <v>0.45326065003003474</v>
      </c>
      <c r="F90" s="360">
        <v>0.34666110446896781</v>
      </c>
      <c r="G90" s="361">
        <v>0.61270845517910077</v>
      </c>
      <c r="H90" s="361">
        <v>0.72184114581391701</v>
      </c>
      <c r="I90" s="360">
        <v>4.3370902082416882E-2</v>
      </c>
      <c r="J90" s="360">
        <v>0.24488233552075422</v>
      </c>
      <c r="K90" s="360">
        <v>1.9200000000000002E-2</v>
      </c>
      <c r="L90" s="360">
        <v>0.2326199241662911</v>
      </c>
      <c r="M90" s="360">
        <v>3.654236698609617E-2</v>
      </c>
      <c r="N90" s="361">
        <v>1.1567297628889579</v>
      </c>
      <c r="O90" s="361">
        <v>4.8154292104667444</v>
      </c>
      <c r="P90" s="361">
        <v>10.48285471378874</v>
      </c>
      <c r="Q90" s="361">
        <v>11.203681381675812</v>
      </c>
      <c r="R90" s="361" t="s">
        <v>98</v>
      </c>
      <c r="S90" s="361">
        <v>54.618361961531335</v>
      </c>
      <c r="T90" s="360">
        <v>0.13100960465577405</v>
      </c>
      <c r="U90" s="360">
        <v>1.754340460060597E-2</v>
      </c>
      <c r="V90" s="360">
        <v>1.238721827891767E-2</v>
      </c>
      <c r="W90" s="360">
        <v>6.8704867753216466E-3</v>
      </c>
      <c r="X90" s="360">
        <v>-2.3108086774560259E-3</v>
      </c>
      <c r="Y90" s="360">
        <v>1.6495295056583579</v>
      </c>
      <c r="Z90" s="360">
        <v>1.6495295056583579</v>
      </c>
      <c r="AA90" s="362">
        <v>0.42915560521201329</v>
      </c>
    </row>
    <row r="91" spans="1:27" ht="14">
      <c r="A91" s="359" t="s">
        <v>595</v>
      </c>
      <c r="B91" s="144">
        <v>21</v>
      </c>
      <c r="C91" s="360">
        <v>9.4160769230769215E-2</v>
      </c>
      <c r="D91" s="360">
        <v>6.2767799611273531E-2</v>
      </c>
      <c r="E91" s="360">
        <v>0.13317123700747599</v>
      </c>
      <c r="F91" s="360">
        <v>0.22365897901010617</v>
      </c>
      <c r="G91" s="361">
        <v>0.78694784597666434</v>
      </c>
      <c r="H91" s="361">
        <v>0.90738538505699995</v>
      </c>
      <c r="I91" s="360">
        <v>5.212859017469039E-2</v>
      </c>
      <c r="J91" s="360">
        <v>0.2867619467746414</v>
      </c>
      <c r="K91" s="360">
        <v>2.58E-2</v>
      </c>
      <c r="L91" s="360">
        <v>0.24066478106211525</v>
      </c>
      <c r="M91" s="360">
        <v>4.4115754919745676E-2</v>
      </c>
      <c r="N91" s="361">
        <v>2.4515741849278605</v>
      </c>
      <c r="O91" s="361">
        <v>1.5567317897080666</v>
      </c>
      <c r="P91" s="361">
        <v>12.959492073346206</v>
      </c>
      <c r="Q91" s="361">
        <v>25.626980651208445</v>
      </c>
      <c r="R91" s="361">
        <v>6.7749292258814835</v>
      </c>
      <c r="S91" s="361">
        <v>48.605928871645851</v>
      </c>
      <c r="T91" s="360">
        <v>7.9693136743779314E-2</v>
      </c>
      <c r="U91" s="360">
        <v>5.8812779442184736E-2</v>
      </c>
      <c r="V91" s="360">
        <v>2.2628756627930156E-2</v>
      </c>
      <c r="W91" s="360">
        <v>0.68340972792286159</v>
      </c>
      <c r="X91" s="360">
        <v>0.22767914053607058</v>
      </c>
      <c r="Y91" s="360">
        <v>0.55442348356375992</v>
      </c>
      <c r="Z91" s="360">
        <v>0.55442348356375992</v>
      </c>
      <c r="AA91" s="362">
        <v>6.0731915901516997E-2</v>
      </c>
    </row>
    <row r="92" spans="1:27" ht="14">
      <c r="A92" s="359" t="s">
        <v>596</v>
      </c>
      <c r="B92" s="144">
        <v>6</v>
      </c>
      <c r="C92" s="360">
        <v>-1.47E-2</v>
      </c>
      <c r="D92" s="360">
        <v>0.39125023060737901</v>
      </c>
      <c r="E92" s="360">
        <v>0.12967763596876056</v>
      </c>
      <c r="F92" s="360">
        <v>0.23115977314390468</v>
      </c>
      <c r="G92" s="361">
        <v>0.74113395736276111</v>
      </c>
      <c r="H92" s="361">
        <v>0.84480849667842206</v>
      </c>
      <c r="I92" s="360">
        <v>4.9174961043221513E-2</v>
      </c>
      <c r="J92" s="360">
        <v>0.16833997765542183</v>
      </c>
      <c r="K92" s="360">
        <v>1.9200000000000002E-2</v>
      </c>
      <c r="L92" s="360">
        <v>0.1839447211506495</v>
      </c>
      <c r="M92" s="360">
        <v>4.2707655758179579E-2</v>
      </c>
      <c r="N92" s="361">
        <v>0.39701712586492816</v>
      </c>
      <c r="O92" s="361">
        <v>8.0999444290363432</v>
      </c>
      <c r="P92" s="361">
        <v>15.458052399785434</v>
      </c>
      <c r="Q92" s="361">
        <v>20.934853811173205</v>
      </c>
      <c r="R92" s="361">
        <v>5.8229959384546</v>
      </c>
      <c r="S92" s="361">
        <v>28.550848056184293</v>
      </c>
      <c r="T92" s="360">
        <v>1.6536008612455824E-2</v>
      </c>
      <c r="U92" s="360">
        <v>0.16356660291394318</v>
      </c>
      <c r="V92" s="360">
        <v>4.4470443723626116E-2</v>
      </c>
      <c r="W92" s="360">
        <v>0.12829844070642524</v>
      </c>
      <c r="X92" s="360">
        <v>0.21474626352104251</v>
      </c>
      <c r="Y92" s="360">
        <v>0.41027528063719787</v>
      </c>
      <c r="Z92" s="360">
        <v>0.41027528063719787</v>
      </c>
      <c r="AA92" s="362">
        <v>0.38690910749986346</v>
      </c>
    </row>
    <row r="93" spans="1:27" ht="14">
      <c r="A93" s="359" t="s">
        <v>597</v>
      </c>
      <c r="B93" s="144">
        <v>35</v>
      </c>
      <c r="C93" s="360">
        <v>3.0642105263157887E-2</v>
      </c>
      <c r="D93" s="360">
        <v>-2.882246905058946E-2</v>
      </c>
      <c r="E93" s="360">
        <v>-4.035655435213481E-2</v>
      </c>
      <c r="F93" s="360">
        <v>0.21675277856229133</v>
      </c>
      <c r="G93" s="361">
        <v>0.94599113446244631</v>
      </c>
      <c r="H93" s="361">
        <v>1.1117887824981547</v>
      </c>
      <c r="I93" s="360">
        <v>6.1776430533912907E-2</v>
      </c>
      <c r="J93" s="360">
        <v>0.38783760729396827</v>
      </c>
      <c r="K93" s="360">
        <v>2.58E-2</v>
      </c>
      <c r="L93" s="360">
        <v>0.25237767229324226</v>
      </c>
      <c r="M93" s="360">
        <v>5.0938719873149713E-2</v>
      </c>
      <c r="N93" s="361">
        <v>0.83636127644751057</v>
      </c>
      <c r="O93" s="361">
        <v>2.7292351713007115</v>
      </c>
      <c r="P93" s="361">
        <v>10.064082127941029</v>
      </c>
      <c r="Q93" s="361" t="s">
        <v>98</v>
      </c>
      <c r="R93" s="361">
        <v>4.8117257666698885</v>
      </c>
      <c r="S93" s="361">
        <v>46.738341622015596</v>
      </c>
      <c r="T93" s="360">
        <v>6.0723800041339683E-2</v>
      </c>
      <c r="U93" s="360">
        <v>-8.0125776964927731E-3</v>
      </c>
      <c r="V93" s="360">
        <v>-8.6707710315732031E-2</v>
      </c>
      <c r="W93" s="360" t="s">
        <v>98</v>
      </c>
      <c r="X93" s="360">
        <v>-0.17695648613703024</v>
      </c>
      <c r="Y93" s="360">
        <v>2.7100744882994714E-3</v>
      </c>
      <c r="Z93" s="360">
        <v>2.7100744882995187E-3</v>
      </c>
      <c r="AA93" s="362">
        <v>-5.0732136649724723E-2</v>
      </c>
    </row>
    <row r="94" spans="1:27" ht="14">
      <c r="A94" s="359" t="s">
        <v>598</v>
      </c>
      <c r="B94" s="144">
        <v>16</v>
      </c>
      <c r="C94" s="360">
        <v>2.2684999999999997E-2</v>
      </c>
      <c r="D94" s="360">
        <v>0.20403341154138444</v>
      </c>
      <c r="E94" s="360">
        <v>6.7850905338863968E-2</v>
      </c>
      <c r="F94" s="360">
        <v>0.117171773264289</v>
      </c>
      <c r="G94" s="361">
        <v>0.48558485606254603</v>
      </c>
      <c r="H94" s="361">
        <v>0.73977845895185768</v>
      </c>
      <c r="I94" s="360">
        <v>4.4217543262527678E-2</v>
      </c>
      <c r="J94" s="360">
        <v>0.18444652874211906</v>
      </c>
      <c r="K94" s="360">
        <v>1.9200000000000002E-2</v>
      </c>
      <c r="L94" s="360">
        <v>0.42756747620067043</v>
      </c>
      <c r="M94" s="360">
        <v>3.1304345632403356E-2</v>
      </c>
      <c r="N94" s="361">
        <v>0.37307034467264188</v>
      </c>
      <c r="O94" s="361">
        <v>4.136621754888119</v>
      </c>
      <c r="P94" s="361">
        <v>12.15184429138481</v>
      </c>
      <c r="Q94" s="361">
        <v>20.529474325741415</v>
      </c>
      <c r="R94" s="361">
        <v>1.8404346419169308</v>
      </c>
      <c r="S94" s="361">
        <v>18.730852059509221</v>
      </c>
      <c r="T94" s="360">
        <v>9.0134502361175151E-2</v>
      </c>
      <c r="U94" s="360">
        <v>0.3114652228597598</v>
      </c>
      <c r="V94" s="360">
        <v>0.19896841700046131</v>
      </c>
      <c r="W94" s="360">
        <v>1.1039575205276062</v>
      </c>
      <c r="X94" s="360">
        <v>7.4857124266643538E-2</v>
      </c>
      <c r="Y94" s="360">
        <v>1.0089818624326357</v>
      </c>
      <c r="Z94" s="360">
        <v>1.0089818624326357</v>
      </c>
      <c r="AA94" s="362">
        <v>0.20149672072710154</v>
      </c>
    </row>
    <row r="95" spans="1:27" ht="14">
      <c r="A95" s="359" t="s">
        <v>599</v>
      </c>
      <c r="B95" s="144">
        <v>17</v>
      </c>
      <c r="C95" s="360">
        <v>0.12739090909090908</v>
      </c>
      <c r="D95" s="360">
        <v>0.30462864365814413</v>
      </c>
      <c r="E95" s="360">
        <v>8.0501688649732311E-2</v>
      </c>
      <c r="F95" s="360">
        <v>0.18748481661181424</v>
      </c>
      <c r="G95" s="361">
        <v>0.57290214155323738</v>
      </c>
      <c r="H95" s="361">
        <v>0.73396774788813257</v>
      </c>
      <c r="I95" s="360">
        <v>4.394327770031986E-2</v>
      </c>
      <c r="J95" s="360">
        <v>0.35960926569887885</v>
      </c>
      <c r="K95" s="360">
        <v>2.58E-2</v>
      </c>
      <c r="L95" s="360">
        <v>0.288051163370102</v>
      </c>
      <c r="M95" s="360">
        <v>3.6710521047359772E-2</v>
      </c>
      <c r="N95" s="361">
        <v>0.29873574208480336</v>
      </c>
      <c r="O95" s="361">
        <v>9.786175412560377</v>
      </c>
      <c r="P95" s="361">
        <v>20.924855016692508</v>
      </c>
      <c r="Q95" s="361">
        <v>32.162808766564744</v>
      </c>
      <c r="R95" s="361">
        <v>3.5073850269273019</v>
      </c>
      <c r="S95" s="361">
        <v>62.39214919438848</v>
      </c>
      <c r="T95" s="360">
        <v>0.16949223860701113</v>
      </c>
      <c r="U95" s="360">
        <v>0.47276822081538949</v>
      </c>
      <c r="V95" s="360">
        <v>0.96620245487575274</v>
      </c>
      <c r="W95" s="360">
        <v>3.9453757403353218</v>
      </c>
      <c r="X95" s="360">
        <v>8.2465676679155456E-2</v>
      </c>
      <c r="Y95" s="360">
        <v>0.66366433039636541</v>
      </c>
      <c r="Z95" s="360">
        <v>0.71305567485106125</v>
      </c>
      <c r="AA95" s="362">
        <v>0.30208913657980541</v>
      </c>
    </row>
    <row r="96" spans="1:27" ht="14">
      <c r="A96" s="359" t="s">
        <v>763</v>
      </c>
      <c r="B96" s="144">
        <v>7582</v>
      </c>
      <c r="C96" s="360">
        <v>8.8604448169880126E-2</v>
      </c>
      <c r="D96" s="360">
        <v>9.6201704840140859E-2</v>
      </c>
      <c r="E96" s="360">
        <v>6.0506096685354741E-2</v>
      </c>
      <c r="F96" s="360">
        <v>0.17760057899121492</v>
      </c>
      <c r="G96" s="361">
        <v>0.7481510729858899</v>
      </c>
      <c r="H96" s="361">
        <v>0.94153312389198818</v>
      </c>
      <c r="I96" s="360">
        <v>5.3740363447701833E-2</v>
      </c>
      <c r="J96" s="360">
        <v>0.41205395925277921</v>
      </c>
      <c r="K96" s="360">
        <v>2.9980000000000003E-2</v>
      </c>
      <c r="L96" s="360">
        <v>0.32580752942081304</v>
      </c>
      <c r="M96" s="360">
        <v>4.3361776507015795E-2</v>
      </c>
      <c r="N96" s="361">
        <v>0.66747011986066229</v>
      </c>
      <c r="O96" s="361">
        <v>3.6462526886648874</v>
      </c>
      <c r="P96" s="361">
        <v>20.01732271472191</v>
      </c>
      <c r="Q96" s="361">
        <v>36.460964745465837</v>
      </c>
      <c r="R96" s="361">
        <v>3.8138539866725387</v>
      </c>
      <c r="S96" s="361">
        <v>103.24608265487092</v>
      </c>
      <c r="T96" s="360">
        <v>-0.36101539217904444</v>
      </c>
      <c r="U96" s="360">
        <v>5.5967085959717458E-2</v>
      </c>
      <c r="V96" s="360">
        <v>2.5664988528031712E-2</v>
      </c>
      <c r="W96" s="360">
        <v>0.33159793650369079</v>
      </c>
      <c r="X96" s="360">
        <v>8.2465676679155456E-2</v>
      </c>
      <c r="Y96" s="360">
        <v>0.71305567485106125</v>
      </c>
      <c r="Z96" s="360">
        <v>0.71305567485106125</v>
      </c>
      <c r="AA96" s="362">
        <v>9.6070367597672277E-2</v>
      </c>
    </row>
    <row r="97" spans="1:27" ht="14">
      <c r="A97" s="359" t="s">
        <v>737</v>
      </c>
      <c r="B97" s="144">
        <v>6253</v>
      </c>
      <c r="C97" s="360">
        <v>9.4041204341900345E-2</v>
      </c>
      <c r="D97" s="360">
        <v>9.930087339393491E-2</v>
      </c>
      <c r="E97" s="360">
        <v>0.10584436361002644</v>
      </c>
      <c r="F97" s="360">
        <v>0.17743360975099459</v>
      </c>
      <c r="G97" s="361">
        <v>0.86177662223276508</v>
      </c>
      <c r="H97" s="361">
        <v>0.97830600909684762</v>
      </c>
      <c r="I97" s="360">
        <v>5.5476043629371211E-2</v>
      </c>
      <c r="J97" s="360">
        <v>0.44772960581474536</v>
      </c>
      <c r="K97" s="360">
        <v>2.9980000000000003E-2</v>
      </c>
      <c r="L97" s="360">
        <v>0.20066342541531326</v>
      </c>
      <c r="M97" s="360">
        <v>4.8735630016796518E-2</v>
      </c>
      <c r="N97" s="361">
        <v>1.1137481600322767</v>
      </c>
      <c r="O97" s="361">
        <v>3.196959116613741</v>
      </c>
      <c r="P97" s="361">
        <v>16.520979574563068</v>
      </c>
      <c r="Q97" s="361">
        <v>30.624257438474952</v>
      </c>
      <c r="R97" s="361">
        <v>4.7501075427779016</v>
      </c>
      <c r="S97" s="361">
        <v>87.077262365850473</v>
      </c>
      <c r="T97" s="360">
        <v>8.2811192862192448E-2</v>
      </c>
      <c r="U97" s="360">
        <v>5.9114865494029625E-2</v>
      </c>
      <c r="V97" s="360">
        <v>2.5390218706648097E-2</v>
      </c>
      <c r="W97" s="360">
        <v>0.29398897453501566</v>
      </c>
      <c r="X97" s="360">
        <v>7.7750912790873816E-2</v>
      </c>
      <c r="Y97" s="360">
        <v>0.83967509040994981</v>
      </c>
      <c r="Z97" s="360">
        <v>0.83967509040994981</v>
      </c>
      <c r="AA97" s="362">
        <v>9.9297521169157646E-2</v>
      </c>
    </row>
  </sheetData>
  <phoneticPr fontId="5"/>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97"/>
  <sheetViews>
    <sheetView workbookViewId="0">
      <selection sqref="A1:XFD1048576"/>
    </sheetView>
  </sheetViews>
  <sheetFormatPr baseColWidth="10" defaultRowHeight="13"/>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7" s="242" customFormat="1" ht="84">
      <c r="A1" s="356" t="s">
        <v>96</v>
      </c>
      <c r="B1" s="242" t="s">
        <v>173</v>
      </c>
      <c r="C1" s="357" t="s">
        <v>161</v>
      </c>
      <c r="D1" s="357" t="s">
        <v>736</v>
      </c>
      <c r="E1" s="357" t="s">
        <v>180</v>
      </c>
      <c r="F1" s="242" t="s">
        <v>162</v>
      </c>
      <c r="G1" s="242" t="s">
        <v>210</v>
      </c>
      <c r="H1" s="242" t="s">
        <v>163</v>
      </c>
      <c r="I1" s="242" t="s">
        <v>164</v>
      </c>
      <c r="J1" s="242" t="s">
        <v>165</v>
      </c>
      <c r="K1" s="242" t="s">
        <v>166</v>
      </c>
      <c r="L1" s="242" t="s">
        <v>167</v>
      </c>
      <c r="M1" s="242" t="s">
        <v>146</v>
      </c>
      <c r="N1" s="358" t="s">
        <v>99</v>
      </c>
      <c r="O1" s="242" t="s">
        <v>168</v>
      </c>
      <c r="P1" s="242" t="s">
        <v>169</v>
      </c>
      <c r="Q1" s="242" t="s">
        <v>170</v>
      </c>
      <c r="R1" s="242" t="s">
        <v>171</v>
      </c>
      <c r="S1" s="242" t="s">
        <v>172</v>
      </c>
      <c r="T1" s="242" t="s">
        <v>496</v>
      </c>
      <c r="U1" s="242" t="s">
        <v>497</v>
      </c>
      <c r="V1" s="242" t="s">
        <v>498</v>
      </c>
      <c r="W1" s="242" t="s">
        <v>499</v>
      </c>
      <c r="X1" s="356" t="s">
        <v>483</v>
      </c>
      <c r="Y1" s="356" t="s">
        <v>500</v>
      </c>
      <c r="Z1" s="356" t="s">
        <v>501</v>
      </c>
      <c r="AA1" s="242" t="s">
        <v>762</v>
      </c>
    </row>
    <row r="2" spans="1:27" s="320" customFormat="1">
      <c r="A2" s="359" t="s">
        <v>97</v>
      </c>
      <c r="B2" s="144">
        <v>348</v>
      </c>
      <c r="C2" s="360">
        <v>4.9684019607843133E-2</v>
      </c>
      <c r="D2" s="360">
        <v>4.6369827884157076E-2</v>
      </c>
      <c r="E2" s="360">
        <v>9.3416211064228122E-2</v>
      </c>
      <c r="F2" s="360">
        <v>0.24988852578843032</v>
      </c>
      <c r="G2" s="361">
        <v>0.98828053077342137</v>
      </c>
      <c r="H2" s="361">
        <v>1.1319137589948762</v>
      </c>
      <c r="I2" s="360">
        <v>7.4498232518104876E-2</v>
      </c>
      <c r="J2" s="360">
        <v>0.37243852902684466</v>
      </c>
      <c r="K2" s="360">
        <v>3.5299999999999998E-2</v>
      </c>
      <c r="L2" s="360">
        <v>0.2904840631480306</v>
      </c>
      <c r="M2" s="360">
        <v>6.0432377622794027E-2</v>
      </c>
      <c r="N2" s="361">
        <v>2.1401025368174569</v>
      </c>
      <c r="O2" s="361">
        <v>1.7076898417157673</v>
      </c>
      <c r="P2" s="361">
        <v>12.740599099038405</v>
      </c>
      <c r="Q2" s="361">
        <v>29.568733579081321</v>
      </c>
      <c r="R2" s="361">
        <v>2.5099680285363823</v>
      </c>
      <c r="S2" s="361">
        <v>69.026586566400582</v>
      </c>
      <c r="T2" s="360">
        <v>-2.8829764758556701E-2</v>
      </c>
      <c r="U2" s="360">
        <v>1.9024834754616627E-2</v>
      </c>
      <c r="V2" s="360">
        <v>1.183698856558044E-2</v>
      </c>
      <c r="W2" s="360">
        <v>-0.10606811432482084</v>
      </c>
      <c r="X2" s="360">
        <v>-3.9539237939158429E-2</v>
      </c>
      <c r="Y2" s="360">
        <v>9.0186292225834814E-3</v>
      </c>
      <c r="Z2" s="360">
        <v>9.0186292225834519E-3</v>
      </c>
      <c r="AA2" s="362">
        <v>4.960223639015808E-2</v>
      </c>
    </row>
    <row r="3" spans="1:27" s="320" customFormat="1">
      <c r="A3" s="359" t="s">
        <v>508</v>
      </c>
      <c r="B3" s="144">
        <v>255</v>
      </c>
      <c r="C3" s="360">
        <v>7.8385465838509291E-2</v>
      </c>
      <c r="D3" s="360">
        <v>5.4749206360180713E-2</v>
      </c>
      <c r="E3" s="360">
        <v>0.11423386323796658</v>
      </c>
      <c r="F3" s="360">
        <v>0.21356462870588366</v>
      </c>
      <c r="G3" s="361">
        <v>1.0024811526281652</v>
      </c>
      <c r="H3" s="361">
        <v>1.1325267666463197</v>
      </c>
      <c r="I3" s="360">
        <v>7.4533541758828009E-2</v>
      </c>
      <c r="J3" s="360">
        <v>0.32562776491531553</v>
      </c>
      <c r="K3" s="360">
        <v>3.5299999999999998E-2</v>
      </c>
      <c r="L3" s="360">
        <v>0.23055784629941639</v>
      </c>
      <c r="M3" s="360">
        <v>6.3361300655311675E-2</v>
      </c>
      <c r="N3" s="361">
        <v>2.1134795842234686</v>
      </c>
      <c r="O3" s="361">
        <v>1.9271506260491551</v>
      </c>
      <c r="P3" s="361">
        <v>14.013550352444684</v>
      </c>
      <c r="Q3" s="361">
        <v>26.8606911293056</v>
      </c>
      <c r="R3" s="361">
        <v>4.6248530905303005</v>
      </c>
      <c r="S3" s="361">
        <v>76.247826896974757</v>
      </c>
      <c r="T3" s="360">
        <v>0.39359765020808668</v>
      </c>
      <c r="U3" s="360">
        <v>3.29534251364801E-2</v>
      </c>
      <c r="V3" s="360">
        <v>-1.9643446180409485E-3</v>
      </c>
      <c r="W3" s="360">
        <v>0.66511139977900413</v>
      </c>
      <c r="X3" s="360">
        <v>-1.7517061044385349E-3</v>
      </c>
      <c r="Y3" s="360">
        <v>1.0312764937080448E-2</v>
      </c>
      <c r="Z3" s="360">
        <v>1.0312764937080443E-2</v>
      </c>
      <c r="AA3" s="362">
        <v>5.9330014314364084E-2</v>
      </c>
    </row>
    <row r="4" spans="1:27" s="320" customFormat="1">
      <c r="A4" s="359" t="s">
        <v>509</v>
      </c>
      <c r="B4" s="144">
        <v>156</v>
      </c>
      <c r="C4" s="360">
        <v>-2.6244384615384621E-2</v>
      </c>
      <c r="D4" s="360">
        <v>-0.14640343076642073</v>
      </c>
      <c r="E4" s="360">
        <v>-9.2360891836899606E-2</v>
      </c>
      <c r="F4" s="360">
        <v>0.31438683636038384</v>
      </c>
      <c r="G4" s="361">
        <v>0.91778936277112455</v>
      </c>
      <c r="H4" s="361">
        <v>1.5558940900594647</v>
      </c>
      <c r="I4" s="360">
        <v>9.8919499587425158E-2</v>
      </c>
      <c r="J4" s="360">
        <v>0.32755006386507213</v>
      </c>
      <c r="K4" s="360">
        <v>3.5299999999999998E-2</v>
      </c>
      <c r="L4" s="360">
        <v>0.55243824709024569</v>
      </c>
      <c r="M4" s="360">
        <v>5.8678025131636148E-2</v>
      </c>
      <c r="N4" s="361">
        <v>0.64572041264290558</v>
      </c>
      <c r="O4" s="361">
        <v>2.4945852060044076</v>
      </c>
      <c r="P4" s="361">
        <v>24.887778926888874</v>
      </c>
      <c r="Q4" s="361" t="s">
        <v>98</v>
      </c>
      <c r="R4" s="361">
        <v>2.6174104554995621</v>
      </c>
      <c r="S4" s="361">
        <v>140.70446974608913</v>
      </c>
      <c r="T4" s="360">
        <v>-7.4198546894930328E-2</v>
      </c>
      <c r="U4" s="360">
        <v>0.12671727568986016</v>
      </c>
      <c r="V4" s="360">
        <v>4.3821747409635396E-3</v>
      </c>
      <c r="W4" s="360" t="s">
        <v>98</v>
      </c>
      <c r="X4" s="360">
        <v>-0.35472999202518024</v>
      </c>
      <c r="Y4" s="360">
        <v>2.0935579476952265E-2</v>
      </c>
      <c r="Z4" s="360">
        <v>2.0935579476952237E-2</v>
      </c>
      <c r="AA4" s="362">
        <v>-0.15147464838783961</v>
      </c>
    </row>
    <row r="5" spans="1:27" s="320" customFormat="1">
      <c r="A5" s="359" t="s">
        <v>510</v>
      </c>
      <c r="B5" s="144">
        <v>1188</v>
      </c>
      <c r="C5" s="360">
        <v>-1.9447300115874821E-2</v>
      </c>
      <c r="D5" s="360">
        <v>7.8952533089082663E-2</v>
      </c>
      <c r="E5" s="360">
        <v>8.7541800874119419E-2</v>
      </c>
      <c r="F5" s="360">
        <v>0.2763037037545783</v>
      </c>
      <c r="G5" s="361">
        <v>0.85376610935466801</v>
      </c>
      <c r="H5" s="361">
        <v>0.91974417018327004</v>
      </c>
      <c r="I5" s="360">
        <v>6.2277264202556346E-2</v>
      </c>
      <c r="J5" s="360">
        <v>0.31184050864198964</v>
      </c>
      <c r="K5" s="360">
        <v>3.5299999999999998E-2</v>
      </c>
      <c r="L5" s="360">
        <v>0.18044958371276787</v>
      </c>
      <c r="M5" s="360">
        <v>5.5744780996783337E-2</v>
      </c>
      <c r="N5" s="361">
        <v>1.2319624652352226</v>
      </c>
      <c r="O5" s="361">
        <v>2.9035711339165524</v>
      </c>
      <c r="P5" s="361">
        <v>21.19404750665937</v>
      </c>
      <c r="Q5" s="361">
        <v>35.171790239690779</v>
      </c>
      <c r="R5" s="361">
        <v>3.6532264662650271</v>
      </c>
      <c r="S5" s="361">
        <v>95.19271431887735</v>
      </c>
      <c r="T5" s="360">
        <v>0.24685103987739301</v>
      </c>
      <c r="U5" s="360">
        <v>4.3398495618431641E-2</v>
      </c>
      <c r="V5" s="360">
        <v>1.3140272307589266E-2</v>
      </c>
      <c r="W5" s="360">
        <v>0.24783335547374252</v>
      </c>
      <c r="X5" s="360">
        <v>2.4413691805016031E-2</v>
      </c>
      <c r="Y5" s="360">
        <v>1.7153366570976118</v>
      </c>
      <c r="Z5" s="360">
        <v>1.7153366570976118</v>
      </c>
      <c r="AA5" s="362">
        <v>8.0316717362856907E-2</v>
      </c>
    </row>
    <row r="6" spans="1:27" s="320" customFormat="1">
      <c r="A6" s="359" t="s">
        <v>511</v>
      </c>
      <c r="B6" s="144">
        <v>144</v>
      </c>
      <c r="C6" s="360">
        <v>8.9593877551020426E-3</v>
      </c>
      <c r="D6" s="360">
        <v>2.6116229675050597E-2</v>
      </c>
      <c r="E6" s="360">
        <v>2.0197572882994522E-2</v>
      </c>
      <c r="F6" s="360">
        <v>0.26403304486438145</v>
      </c>
      <c r="G6" s="361">
        <v>1.0110464464402951</v>
      </c>
      <c r="H6" s="361">
        <v>1.3908100918793502</v>
      </c>
      <c r="I6" s="360">
        <v>8.9410661292250573E-2</v>
      </c>
      <c r="J6" s="360">
        <v>0.30826068857209266</v>
      </c>
      <c r="K6" s="360">
        <v>3.5299999999999998E-2</v>
      </c>
      <c r="L6" s="360">
        <v>0.42909268971600739</v>
      </c>
      <c r="M6" s="360">
        <v>6.2234268326302335E-2</v>
      </c>
      <c r="N6" s="361">
        <v>0.86286711983275</v>
      </c>
      <c r="O6" s="361">
        <v>1.5268667169799859</v>
      </c>
      <c r="P6" s="361">
        <v>19.792878287323244</v>
      </c>
      <c r="Q6" s="361">
        <v>53.778443636415865</v>
      </c>
      <c r="R6" s="361">
        <v>1.7637423999800206</v>
      </c>
      <c r="S6" s="361">
        <v>156.27256481915006</v>
      </c>
      <c r="T6" s="360">
        <v>6.2233425931519917E-3</v>
      </c>
      <c r="U6" s="360">
        <v>6.76093691509492E-2</v>
      </c>
      <c r="V6" s="360">
        <v>3.3133288141764819E-2</v>
      </c>
      <c r="W6" s="360">
        <v>1.0701501300192282</v>
      </c>
      <c r="X6" s="360">
        <v>1.9102539299651326E-2</v>
      </c>
      <c r="Y6" s="360">
        <v>1.2162737004645183</v>
      </c>
      <c r="Z6" s="360">
        <v>1.2162737004645183</v>
      </c>
      <c r="AA6" s="362">
        <v>2.7080488974336604E-2</v>
      </c>
    </row>
    <row r="7" spans="1:27" s="320" customFormat="1">
      <c r="A7" s="359" t="s">
        <v>512</v>
      </c>
      <c r="B7" s="144">
        <v>709</v>
      </c>
      <c r="C7" s="360">
        <v>1.8493838951310862E-2</v>
      </c>
      <c r="D7" s="360">
        <v>2.6240731097590102E-2</v>
      </c>
      <c r="E7" s="360">
        <v>3.4016619949833765E-2</v>
      </c>
      <c r="F7" s="360">
        <v>0.2418073034474979</v>
      </c>
      <c r="G7" s="361">
        <v>1.2788553958040321</v>
      </c>
      <c r="H7" s="361">
        <v>1.401797850820661</v>
      </c>
      <c r="I7" s="360">
        <v>9.0043556207270073E-2</v>
      </c>
      <c r="J7" s="360">
        <v>0.29937810300029793</v>
      </c>
      <c r="K7" s="360">
        <v>3.5299999999999998E-2</v>
      </c>
      <c r="L7" s="360">
        <v>0.25581583423055049</v>
      </c>
      <c r="M7" s="360">
        <v>7.3679670592159408E-2</v>
      </c>
      <c r="N7" s="361">
        <v>1.3814967701299383</v>
      </c>
      <c r="O7" s="361">
        <v>1.0469651671946401</v>
      </c>
      <c r="P7" s="361">
        <v>11.243398611826539</v>
      </c>
      <c r="Q7" s="361">
        <v>36.171282728865734</v>
      </c>
      <c r="R7" s="361">
        <v>1.7167668461502721</v>
      </c>
      <c r="S7" s="361">
        <v>78.986718546697233</v>
      </c>
      <c r="T7" s="360">
        <v>0.12313890091459503</v>
      </c>
      <c r="U7" s="360">
        <v>5.8200234040694396E-2</v>
      </c>
      <c r="V7" s="360">
        <v>3.4512372602179021E-2</v>
      </c>
      <c r="W7" s="360">
        <v>1.751281828042802</v>
      </c>
      <c r="X7" s="360">
        <v>-1.6114394264670189E-2</v>
      </c>
      <c r="Y7" s="360">
        <v>7.1151835049649281E-3</v>
      </c>
      <c r="Z7" s="360">
        <v>7.1151835049649836E-3</v>
      </c>
      <c r="AA7" s="362">
        <v>2.7934809884103771E-2</v>
      </c>
    </row>
    <row r="8" spans="1:27" s="320" customFormat="1">
      <c r="A8" s="359" t="s">
        <v>513</v>
      </c>
      <c r="B8" s="144">
        <v>620</v>
      </c>
      <c r="C8" s="360">
        <v>8.4532007233273088E-2</v>
      </c>
      <c r="D8" s="360">
        <v>1.9535025732567456E-3</v>
      </c>
      <c r="E8" s="360">
        <v>2.1134270243845115E-4</v>
      </c>
      <c r="F8" s="360">
        <v>0.20183852579244169</v>
      </c>
      <c r="G8" s="361">
        <v>0.47930202143470874</v>
      </c>
      <c r="H8" s="361">
        <v>0.99582213065794545</v>
      </c>
      <c r="I8" s="360">
        <v>6.6659354725897652E-2</v>
      </c>
      <c r="J8" s="360">
        <v>0.2118167315121493</v>
      </c>
      <c r="K8" s="360">
        <v>2.8699999999999996E-2</v>
      </c>
      <c r="L8" s="360">
        <v>0.75417794271874294</v>
      </c>
      <c r="M8" s="360">
        <v>3.2375432484179067E-2</v>
      </c>
      <c r="N8" s="361">
        <v>0.12240599459485685</v>
      </c>
      <c r="O8" s="361">
        <v>7.7481135419615139</v>
      </c>
      <c r="P8" s="361" t="s">
        <v>98</v>
      </c>
      <c r="Q8" s="361" t="s">
        <v>98</v>
      </c>
      <c r="R8" s="361">
        <v>0.80587467363951137</v>
      </c>
      <c r="S8" s="361">
        <v>71.414345087258567</v>
      </c>
      <c r="T8" s="360" t="s">
        <v>98</v>
      </c>
      <c r="U8" s="360">
        <v>3.3249923237519331E-2</v>
      </c>
      <c r="V8" s="360">
        <v>4.0850262075864806E-2</v>
      </c>
      <c r="W8" s="360">
        <v>19.655844871660989</v>
      </c>
      <c r="X8" s="360">
        <v>7.7033619384960325E-2</v>
      </c>
      <c r="Y8" s="360">
        <v>0.37385577177961449</v>
      </c>
      <c r="Z8" s="360">
        <v>0.37385577177961449</v>
      </c>
      <c r="AA8" s="362">
        <v>2.1574186564773325E-3</v>
      </c>
    </row>
    <row r="9" spans="1:27" s="320" customFormat="1">
      <c r="A9" s="359" t="s">
        <v>514</v>
      </c>
      <c r="B9" s="144">
        <v>850</v>
      </c>
      <c r="C9" s="360">
        <v>7.0974012738853481E-2</v>
      </c>
      <c r="D9" s="360">
        <v>-1.9084141059655401E-4</v>
      </c>
      <c r="E9" s="360">
        <v>-3.1101571399630429E-4</v>
      </c>
      <c r="F9" s="360">
        <v>0.19244130955102906</v>
      </c>
      <c r="G9" s="361">
        <v>0.54160856853144601</v>
      </c>
      <c r="H9" s="361">
        <v>0.69315007351984981</v>
      </c>
      <c r="I9" s="360">
        <v>4.9225444234743343E-2</v>
      </c>
      <c r="J9" s="360">
        <v>0.19259738563288453</v>
      </c>
      <c r="K9" s="360">
        <v>2.8699999999999996E-2</v>
      </c>
      <c r="L9" s="360">
        <v>0.66124714144544772</v>
      </c>
      <c r="M9" s="360">
        <v>3.06941556073081E-2</v>
      </c>
      <c r="N9" s="361">
        <v>0.18061916348465945</v>
      </c>
      <c r="O9" s="361">
        <v>4.9412782800339281</v>
      </c>
      <c r="P9" s="361" t="s">
        <v>98</v>
      </c>
      <c r="Q9" s="361" t="s">
        <v>98</v>
      </c>
      <c r="R9" s="361">
        <v>0.81441719155435022</v>
      </c>
      <c r="S9" s="361">
        <v>17.678497838941823</v>
      </c>
      <c r="T9" s="360" t="s">
        <v>98</v>
      </c>
      <c r="U9" s="360">
        <v>4.1003001672158E-2</v>
      </c>
      <c r="V9" s="360">
        <v>2.6572613835878743E-2</v>
      </c>
      <c r="W9" s="360" t="s">
        <v>98</v>
      </c>
      <c r="X9" s="360">
        <v>7.2619395511822976E-2</v>
      </c>
      <c r="Y9" s="360">
        <v>0.54399573104709187</v>
      </c>
      <c r="Z9" s="360">
        <v>0.54399573104709187</v>
      </c>
      <c r="AA9" s="362">
        <v>-2.1088300151206594E-3</v>
      </c>
    </row>
    <row r="10" spans="1:27" s="320" customFormat="1">
      <c r="A10" s="359" t="s">
        <v>515</v>
      </c>
      <c r="B10" s="144">
        <v>223</v>
      </c>
      <c r="C10" s="360">
        <v>7.3401377245508978E-2</v>
      </c>
      <c r="D10" s="360">
        <v>0.20272296899195852</v>
      </c>
      <c r="E10" s="360">
        <v>0.11494548796982305</v>
      </c>
      <c r="F10" s="360">
        <v>0.25178165969865146</v>
      </c>
      <c r="G10" s="361">
        <v>0.7341539604842614</v>
      </c>
      <c r="H10" s="361">
        <v>0.80333927488654622</v>
      </c>
      <c r="I10" s="360">
        <v>5.5572342233465064E-2</v>
      </c>
      <c r="J10" s="360">
        <v>0.24277812430582729</v>
      </c>
      <c r="K10" s="360">
        <v>2.8699999999999996E-2</v>
      </c>
      <c r="L10" s="360">
        <v>0.15014863898939057</v>
      </c>
      <c r="M10" s="360">
        <v>5.0411485430793643E-2</v>
      </c>
      <c r="N10" s="361">
        <v>0.67786470217942008</v>
      </c>
      <c r="O10" s="361">
        <v>5.863688719779713</v>
      </c>
      <c r="P10" s="361">
        <v>22.588944420379654</v>
      </c>
      <c r="Q10" s="361">
        <v>28.795988823563306</v>
      </c>
      <c r="R10" s="361">
        <v>4.9519257970523416</v>
      </c>
      <c r="S10" s="361">
        <v>163.76681633353238</v>
      </c>
      <c r="T10" s="360">
        <v>0.10258976751752767</v>
      </c>
      <c r="U10" s="360">
        <v>5.0188737263381918E-2</v>
      </c>
      <c r="V10" s="360">
        <v>3.9329076084952889E-2</v>
      </c>
      <c r="W10" s="360">
        <v>0.24686269813777073</v>
      </c>
      <c r="X10" s="360">
        <v>9.1364311380789182E-2</v>
      </c>
      <c r="Y10" s="360">
        <v>0.72964737861567774</v>
      </c>
      <c r="Z10" s="360">
        <v>0.72964737861567774</v>
      </c>
      <c r="AA10" s="362">
        <v>0.20305434892882004</v>
      </c>
    </row>
    <row r="11" spans="1:27" s="320" customFormat="1">
      <c r="A11" s="359" t="s">
        <v>516</v>
      </c>
      <c r="B11" s="144">
        <v>108</v>
      </c>
      <c r="C11" s="360">
        <v>6.3918688524590164E-2</v>
      </c>
      <c r="D11" s="360">
        <v>0.15004359982735904</v>
      </c>
      <c r="E11" s="360">
        <v>0.19808135464622645</v>
      </c>
      <c r="F11" s="360">
        <v>0.22094943478359111</v>
      </c>
      <c r="G11" s="361">
        <v>0.65091162659976631</v>
      </c>
      <c r="H11" s="361">
        <v>0.71868000537713383</v>
      </c>
      <c r="I11" s="360">
        <v>5.0695968309722908E-2</v>
      </c>
      <c r="J11" s="360">
        <v>0.31202243631071858</v>
      </c>
      <c r="K11" s="360">
        <v>3.5299999999999998E-2</v>
      </c>
      <c r="L11" s="360">
        <v>0.17567595959055829</v>
      </c>
      <c r="M11" s="360">
        <v>4.6370851076178755E-2</v>
      </c>
      <c r="N11" s="361">
        <v>1.472125004619433</v>
      </c>
      <c r="O11" s="361">
        <v>3.7948323266530735</v>
      </c>
      <c r="P11" s="361">
        <v>19.291621738747072</v>
      </c>
      <c r="Q11" s="361">
        <v>25.141934749095892</v>
      </c>
      <c r="R11" s="361">
        <v>5.9017232477314749</v>
      </c>
      <c r="S11" s="361">
        <v>82.18337119152622</v>
      </c>
      <c r="T11" s="360">
        <v>-5.5448386273398043E-2</v>
      </c>
      <c r="U11" s="360">
        <v>5.351758246088692E-2</v>
      </c>
      <c r="V11" s="360">
        <v>4.9512500008634427E-2</v>
      </c>
      <c r="W11" s="360">
        <v>0.36271095407111131</v>
      </c>
      <c r="X11" s="360">
        <v>0.19343727734061583</v>
      </c>
      <c r="Y11" s="360">
        <v>0.78483846024929338</v>
      </c>
      <c r="Z11" s="360">
        <v>0.78483846024929338</v>
      </c>
      <c r="AA11" s="362">
        <v>0.15082503605065087</v>
      </c>
    </row>
    <row r="12" spans="1:27" s="320" customFormat="1">
      <c r="A12" s="359" t="s">
        <v>517</v>
      </c>
      <c r="B12" s="144">
        <v>146</v>
      </c>
      <c r="C12" s="360">
        <v>1.324925619834711E-2</v>
      </c>
      <c r="D12" s="360">
        <v>0.14787517294448518</v>
      </c>
      <c r="E12" s="360">
        <v>0.12962343724148687</v>
      </c>
      <c r="F12" s="360">
        <v>0.23932247245409341</v>
      </c>
      <c r="G12" s="361">
        <v>0.68587684160348561</v>
      </c>
      <c r="H12" s="361">
        <v>0.97572060904126745</v>
      </c>
      <c r="I12" s="360">
        <v>6.5501507080776997E-2</v>
      </c>
      <c r="J12" s="360">
        <v>0.31231753614001356</v>
      </c>
      <c r="K12" s="360">
        <v>3.5299999999999998E-2</v>
      </c>
      <c r="L12" s="360">
        <v>0.43511625190134506</v>
      </c>
      <c r="M12" s="360">
        <v>4.8346876073267077E-2</v>
      </c>
      <c r="N12" s="361">
        <v>0.99552927380374201</v>
      </c>
      <c r="O12" s="361">
        <v>1.7970064129869014</v>
      </c>
      <c r="P12" s="361">
        <v>8.1361092182101196</v>
      </c>
      <c r="Q12" s="361">
        <v>11.773187414350323</v>
      </c>
      <c r="R12" s="361">
        <v>1.34689473750717</v>
      </c>
      <c r="S12" s="361">
        <v>26.64149731131128</v>
      </c>
      <c r="T12" s="360">
        <v>0.14640198760484041</v>
      </c>
      <c r="U12" s="360">
        <v>3.6197823486362586E-2</v>
      </c>
      <c r="V12" s="360">
        <v>-2.9642709176272533E-4</v>
      </c>
      <c r="W12" s="360">
        <v>0.80752815364908204</v>
      </c>
      <c r="X12" s="360">
        <v>1.9465284070952146E-2</v>
      </c>
      <c r="Y12" s="360">
        <v>1.2773396025035546</v>
      </c>
      <c r="Z12" s="360">
        <v>1.2773396025035546</v>
      </c>
      <c r="AA12" s="362">
        <v>0.14665719487319243</v>
      </c>
    </row>
    <row r="13" spans="1:27" s="320" customFormat="1">
      <c r="A13" s="359" t="s">
        <v>518</v>
      </c>
      <c r="B13" s="144">
        <v>575</v>
      </c>
      <c r="C13" s="360">
        <v>8.3588167938931257E-2</v>
      </c>
      <c r="D13" s="360">
        <v>1.0291138834191039E-2</v>
      </c>
      <c r="E13" s="360">
        <v>1.4969793363148565E-3</v>
      </c>
      <c r="F13" s="360">
        <v>0.22230716721406613</v>
      </c>
      <c r="G13" s="361">
        <v>0.41708121239775142</v>
      </c>
      <c r="H13" s="361">
        <v>0.85701749920535353</v>
      </c>
      <c r="I13" s="360">
        <v>5.8664207954228359E-2</v>
      </c>
      <c r="J13" s="360">
        <v>0.29641128537845668</v>
      </c>
      <c r="K13" s="360">
        <v>3.5299999999999998E-2</v>
      </c>
      <c r="L13" s="360">
        <v>0.66165279761405216</v>
      </c>
      <c r="M13" s="360">
        <v>3.7102201773892396E-2</v>
      </c>
      <c r="N13" s="361">
        <v>0.19427680834264099</v>
      </c>
      <c r="O13" s="361">
        <v>6.6193034882563797</v>
      </c>
      <c r="P13" s="361" t="s">
        <v>98</v>
      </c>
      <c r="Q13" s="361" t="s">
        <v>98</v>
      </c>
      <c r="R13" s="361">
        <v>1.5977468994922899</v>
      </c>
      <c r="S13" s="361">
        <v>44.201549360580934</v>
      </c>
      <c r="T13" s="360">
        <v>-2.0402288547815743</v>
      </c>
      <c r="U13" s="360">
        <v>3.7189883664496791E-2</v>
      </c>
      <c r="V13" s="360">
        <v>1.7440904949260462E-2</v>
      </c>
      <c r="W13" s="360">
        <v>-10.226284298674983</v>
      </c>
      <c r="X13" s="360">
        <v>0.10248729057098893</v>
      </c>
      <c r="Y13" s="360">
        <v>0.51594190545436469</v>
      </c>
      <c r="Z13" s="360">
        <v>0.51594190545436469</v>
      </c>
      <c r="AA13" s="362">
        <v>8.8937467361876674E-3</v>
      </c>
    </row>
    <row r="14" spans="1:27" s="320" customFormat="1">
      <c r="A14" s="359" t="s">
        <v>519</v>
      </c>
      <c r="B14" s="144">
        <v>439</v>
      </c>
      <c r="C14" s="360">
        <v>1.9863768115942038E-2</v>
      </c>
      <c r="D14" s="360">
        <v>8.6163651007424333E-2</v>
      </c>
      <c r="E14" s="360">
        <v>0.12205115913914638</v>
      </c>
      <c r="F14" s="360">
        <v>0.25575914912776199</v>
      </c>
      <c r="G14" s="361">
        <v>0.90933978041253483</v>
      </c>
      <c r="H14" s="361">
        <v>0.99073259666206137</v>
      </c>
      <c r="I14" s="360">
        <v>6.6366197567734736E-2</v>
      </c>
      <c r="J14" s="360">
        <v>0.27507310410768809</v>
      </c>
      <c r="K14" s="360">
        <v>3.5299999999999998E-2</v>
      </c>
      <c r="L14" s="360">
        <v>0.19903276640502102</v>
      </c>
      <c r="M14" s="360">
        <v>5.8347149980427948E-2</v>
      </c>
      <c r="N14" s="361">
        <v>1.6645875685228881</v>
      </c>
      <c r="O14" s="361">
        <v>1.8097196742726982</v>
      </c>
      <c r="P14" s="361">
        <v>13.579397096941168</v>
      </c>
      <c r="Q14" s="361">
        <v>20.467603763788127</v>
      </c>
      <c r="R14" s="361">
        <v>2.9016209528197781</v>
      </c>
      <c r="S14" s="361">
        <v>66.921637665328106</v>
      </c>
      <c r="T14" s="360">
        <v>0.17070952099764924</v>
      </c>
      <c r="U14" s="360">
        <v>4.1427678729482872E-2</v>
      </c>
      <c r="V14" s="360">
        <v>3.1259848205070613E-2</v>
      </c>
      <c r="W14" s="360">
        <v>0.35428453901100215</v>
      </c>
      <c r="X14" s="360">
        <v>8.6866940965972347E-2</v>
      </c>
      <c r="Y14" s="360">
        <v>0.41472296337245529</v>
      </c>
      <c r="Z14" s="360">
        <v>0.41472296337245529</v>
      </c>
      <c r="AA14" s="362">
        <v>8.7804084791722331E-2</v>
      </c>
    </row>
    <row r="15" spans="1:27" s="320" customFormat="1">
      <c r="A15" s="359" t="s">
        <v>520</v>
      </c>
      <c r="B15" s="144">
        <v>923</v>
      </c>
      <c r="C15" s="360">
        <v>7.367932604735887E-2</v>
      </c>
      <c r="D15" s="360">
        <v>7.6073901082570783E-2</v>
      </c>
      <c r="E15" s="360">
        <v>0.1619707701951342</v>
      </c>
      <c r="F15" s="360">
        <v>0.25588898098952817</v>
      </c>
      <c r="G15" s="361">
        <v>0.9130597184101551</v>
      </c>
      <c r="H15" s="361">
        <v>0.98900512919249439</v>
      </c>
      <c r="I15" s="360">
        <v>6.626669544148768E-2</v>
      </c>
      <c r="J15" s="360">
        <v>0.32241370099516747</v>
      </c>
      <c r="K15" s="360">
        <v>3.5299999999999998E-2</v>
      </c>
      <c r="L15" s="360">
        <v>0.17754712049676549</v>
      </c>
      <c r="M15" s="360">
        <v>5.9130972725272318E-2</v>
      </c>
      <c r="N15" s="361">
        <v>2.4526219940928735</v>
      </c>
      <c r="O15" s="361">
        <v>2.1747914512705848</v>
      </c>
      <c r="P15" s="361">
        <v>17.284995888960246</v>
      </c>
      <c r="Q15" s="361">
        <v>27.399599453647038</v>
      </c>
      <c r="R15" s="361">
        <v>4.5433163142566588</v>
      </c>
      <c r="S15" s="361">
        <v>90.749111400134126</v>
      </c>
      <c r="T15" s="360">
        <v>8.9143028810571553E-2</v>
      </c>
      <c r="U15" s="360">
        <v>2.693561349959557E-2</v>
      </c>
      <c r="V15" s="360">
        <v>8.7702636169066928E-3</v>
      </c>
      <c r="W15" s="360">
        <v>-6.118581388095989E-3</v>
      </c>
      <c r="X15" s="360">
        <v>8.881233838203681E-2</v>
      </c>
      <c r="Y15" s="360">
        <v>0.70647832041996217</v>
      </c>
      <c r="Z15" s="360">
        <v>0.70647832041996217</v>
      </c>
      <c r="AA15" s="362">
        <v>7.8156252627299028E-2</v>
      </c>
    </row>
    <row r="16" spans="1:27" s="320" customFormat="1">
      <c r="A16" s="359" t="s">
        <v>521</v>
      </c>
      <c r="B16" s="144">
        <v>60</v>
      </c>
      <c r="C16" s="360">
        <v>1.8461395348837208E-2</v>
      </c>
      <c r="D16" s="360">
        <v>0.18120573700866768</v>
      </c>
      <c r="E16" s="360">
        <v>0.11273736665557826</v>
      </c>
      <c r="F16" s="360">
        <v>0.22910601629864716</v>
      </c>
      <c r="G16" s="361">
        <v>0.78463068141571835</v>
      </c>
      <c r="H16" s="361">
        <v>1.054606414897804</v>
      </c>
      <c r="I16" s="360">
        <v>7.0045329498113512E-2</v>
      </c>
      <c r="J16" s="360">
        <v>0.30642808544899103</v>
      </c>
      <c r="K16" s="360">
        <v>3.5299999999999998E-2</v>
      </c>
      <c r="L16" s="360">
        <v>0.3447516621771386</v>
      </c>
      <c r="M16" s="360">
        <v>5.4886867991507431E-2</v>
      </c>
      <c r="N16" s="361">
        <v>0.73023505326560412</v>
      </c>
      <c r="O16" s="361">
        <v>3.6661791915588653</v>
      </c>
      <c r="P16" s="361">
        <v>10.395373883711642</v>
      </c>
      <c r="Q16" s="361">
        <v>19.343111840923548</v>
      </c>
      <c r="R16" s="361">
        <v>2.7469553595398271</v>
      </c>
      <c r="S16" s="361">
        <v>41.39629383405336</v>
      </c>
      <c r="T16" s="360">
        <v>-6.552823118284271E-4</v>
      </c>
      <c r="U16" s="360">
        <v>0.11704535160235692</v>
      </c>
      <c r="V16" s="360">
        <v>-2.1053584023977966E-2</v>
      </c>
      <c r="W16" s="360">
        <v>-0.15896999663209133</v>
      </c>
      <c r="X16" s="360">
        <v>0.10469353726580118</v>
      </c>
      <c r="Y16" s="360">
        <v>0.3291022889389591</v>
      </c>
      <c r="Z16" s="360">
        <v>0.3291022889389591</v>
      </c>
      <c r="AA16" s="362">
        <v>0.1807178082970915</v>
      </c>
    </row>
    <row r="17" spans="1:27" s="320" customFormat="1">
      <c r="A17" s="359" t="s">
        <v>522</v>
      </c>
      <c r="B17" s="144">
        <v>844</v>
      </c>
      <c r="C17" s="360">
        <v>5.6104414715719059E-2</v>
      </c>
      <c r="D17" s="360">
        <v>6.486937609306058E-2</v>
      </c>
      <c r="E17" s="360">
        <v>5.830047024143202E-2</v>
      </c>
      <c r="F17" s="360">
        <v>0.2247168074718624</v>
      </c>
      <c r="G17" s="361">
        <v>0.9311754214530038</v>
      </c>
      <c r="H17" s="361">
        <v>1.0691111060471685</v>
      </c>
      <c r="I17" s="360">
        <v>7.0880799708316899E-2</v>
      </c>
      <c r="J17" s="360">
        <v>0.28522576751584339</v>
      </c>
      <c r="K17" s="360">
        <v>3.5299999999999998E-2</v>
      </c>
      <c r="L17" s="360">
        <v>0.25797818777222542</v>
      </c>
      <c r="M17" s="360">
        <v>5.9322167053668426E-2</v>
      </c>
      <c r="N17" s="361">
        <v>1.0424667501964167</v>
      </c>
      <c r="O17" s="361">
        <v>1.7591172468941758</v>
      </c>
      <c r="P17" s="361">
        <v>13.320041688164443</v>
      </c>
      <c r="Q17" s="361">
        <v>26.300440571081324</v>
      </c>
      <c r="R17" s="361">
        <v>1.8976012984662189</v>
      </c>
      <c r="S17" s="361">
        <v>47.062325576814928</v>
      </c>
      <c r="T17" s="360">
        <v>0.12169372266725441</v>
      </c>
      <c r="U17" s="360">
        <v>8.9905922482783576E-2</v>
      </c>
      <c r="V17" s="360">
        <v>5.7049136183993265E-2</v>
      </c>
      <c r="W17" s="360">
        <v>1.0408000196656972</v>
      </c>
      <c r="X17" s="360">
        <v>3.9737528173163325E-2</v>
      </c>
      <c r="Y17" s="360">
        <v>1.3594998306259558</v>
      </c>
      <c r="Z17" s="360">
        <v>1.3594998306259558</v>
      </c>
      <c r="AA17" s="362">
        <v>6.5994029932310322E-2</v>
      </c>
    </row>
    <row r="18" spans="1:27" s="320" customFormat="1">
      <c r="A18" s="359" t="s">
        <v>523</v>
      </c>
      <c r="B18" s="144">
        <v>73</v>
      </c>
      <c r="C18" s="360">
        <v>3.3375156249999989E-2</v>
      </c>
      <c r="D18" s="360">
        <v>3.8085858363706718E-2</v>
      </c>
      <c r="E18" s="360">
        <v>3.1247938911890712E-2</v>
      </c>
      <c r="F18" s="360">
        <v>0.2481112941009404</v>
      </c>
      <c r="G18" s="361">
        <v>1.048031632511917</v>
      </c>
      <c r="H18" s="361">
        <v>1.3270222093432342</v>
      </c>
      <c r="I18" s="360">
        <v>8.5736479258170295E-2</v>
      </c>
      <c r="J18" s="360">
        <v>0.24887445646975331</v>
      </c>
      <c r="K18" s="360">
        <v>2.8699999999999996E-2</v>
      </c>
      <c r="L18" s="360">
        <v>0.34884428409662488</v>
      </c>
      <c r="M18" s="360">
        <v>6.3223538055793227E-2</v>
      </c>
      <c r="N18" s="361">
        <v>0.97332501801013505</v>
      </c>
      <c r="O18" s="361">
        <v>1.3678853453654181</v>
      </c>
      <c r="P18" s="361">
        <v>12.956374740690297</v>
      </c>
      <c r="Q18" s="361">
        <v>35.241171506105204</v>
      </c>
      <c r="R18" s="361">
        <v>1.4535072618966636</v>
      </c>
      <c r="S18" s="361">
        <v>129.62251426929518</v>
      </c>
      <c r="T18" s="360">
        <v>0.19363001707459326</v>
      </c>
      <c r="U18" s="360">
        <v>6.7745115648685572E-2</v>
      </c>
      <c r="V18" s="360">
        <v>2.9530869367977258E-2</v>
      </c>
      <c r="W18" s="360">
        <v>0.71175902551126269</v>
      </c>
      <c r="X18" s="360">
        <v>-2.9490179506814138E-2</v>
      </c>
      <c r="Y18" s="360">
        <v>3.3326973623931548E-2</v>
      </c>
      <c r="Z18" s="360">
        <v>3.3326973623931555E-2</v>
      </c>
      <c r="AA18" s="362">
        <v>3.919076713616907E-2</v>
      </c>
    </row>
    <row r="19" spans="1:27" s="320" customFormat="1">
      <c r="A19" s="359" t="s">
        <v>524</v>
      </c>
      <c r="B19" s="144">
        <v>861</v>
      </c>
      <c r="C19" s="360">
        <v>5.3702586805555577E-2</v>
      </c>
      <c r="D19" s="360">
        <v>9.7072547158261024E-2</v>
      </c>
      <c r="E19" s="360">
        <v>8.8308547831840806E-2</v>
      </c>
      <c r="F19" s="360">
        <v>0.21582117341015417</v>
      </c>
      <c r="G19" s="361">
        <v>0.98768405232875189</v>
      </c>
      <c r="H19" s="361">
        <v>1.0808109733679223</v>
      </c>
      <c r="I19" s="360">
        <v>7.1554712065992329E-2</v>
      </c>
      <c r="J19" s="360">
        <v>0.30269248685602462</v>
      </c>
      <c r="K19" s="360">
        <v>3.5299999999999998E-2</v>
      </c>
      <c r="L19" s="360">
        <v>0.17796850390004934</v>
      </c>
      <c r="M19" s="360">
        <v>6.3460953296841982E-2</v>
      </c>
      <c r="N19" s="361">
        <v>1.0615571011396603</v>
      </c>
      <c r="O19" s="361">
        <v>2.7516139361571579</v>
      </c>
      <c r="P19" s="361">
        <v>15.88532911777755</v>
      </c>
      <c r="Q19" s="361">
        <v>27.731356607432527</v>
      </c>
      <c r="R19" s="361">
        <v>2.87126621477407</v>
      </c>
      <c r="S19" s="361">
        <v>61.435271843483626</v>
      </c>
      <c r="T19" s="360">
        <v>0.17884070358888488</v>
      </c>
      <c r="U19" s="360">
        <v>7.5863195918145318E-2</v>
      </c>
      <c r="V19" s="360">
        <v>3.4709686049002451E-2</v>
      </c>
      <c r="W19" s="360">
        <v>0.34999443518798062</v>
      </c>
      <c r="X19" s="360">
        <v>5.3334231251365743E-2</v>
      </c>
      <c r="Y19" s="360">
        <v>0.89609478658169672</v>
      </c>
      <c r="Z19" s="360">
        <v>0.89609478658169672</v>
      </c>
      <c r="AA19" s="362">
        <v>9.7960105953595902E-2</v>
      </c>
    </row>
    <row r="20" spans="1:27" s="320" customFormat="1">
      <c r="A20" s="359" t="s">
        <v>525</v>
      </c>
      <c r="B20" s="144">
        <v>222</v>
      </c>
      <c r="C20" s="360">
        <v>6.571418181818181E-2</v>
      </c>
      <c r="D20" s="360">
        <v>0.1218290816170572</v>
      </c>
      <c r="E20" s="360">
        <v>0.10531492718469361</v>
      </c>
      <c r="F20" s="360">
        <v>0.23719120869784457</v>
      </c>
      <c r="G20" s="361">
        <v>0.89594123744909981</v>
      </c>
      <c r="H20" s="361">
        <v>1.0136799861257231</v>
      </c>
      <c r="I20" s="360">
        <v>6.7687967200841651E-2</v>
      </c>
      <c r="J20" s="360">
        <v>0.4086933250594344</v>
      </c>
      <c r="K20" s="360">
        <v>3.9480000000000001E-2</v>
      </c>
      <c r="L20" s="360">
        <v>0.35535304618159413</v>
      </c>
      <c r="M20" s="360">
        <v>5.3998314041245027E-2</v>
      </c>
      <c r="N20" s="361">
        <v>0.92486496379748961</v>
      </c>
      <c r="O20" s="361">
        <v>1.2333180933827743</v>
      </c>
      <c r="P20" s="361">
        <v>5.5931058061681291</v>
      </c>
      <c r="Q20" s="361">
        <v>9.5335061064527746</v>
      </c>
      <c r="R20" s="361">
        <v>0.95876258879721621</v>
      </c>
      <c r="S20" s="361">
        <v>22.510916116238789</v>
      </c>
      <c r="T20" s="360">
        <v>-1.7644460636817693E-2</v>
      </c>
      <c r="U20" s="360">
        <v>8.0290295502526199E-2</v>
      </c>
      <c r="V20" s="360">
        <v>2.3395224056865994E-2</v>
      </c>
      <c r="W20" s="360">
        <v>0.44516154941050168</v>
      </c>
      <c r="X20" s="360">
        <v>7.6033482121894327E-2</v>
      </c>
      <c r="Y20" s="360">
        <v>0.98304123575768687</v>
      </c>
      <c r="Z20" s="360">
        <v>0.98304123575768687</v>
      </c>
      <c r="AA20" s="362">
        <v>0.12240118268833063</v>
      </c>
    </row>
    <row r="21" spans="1:27" s="320" customFormat="1">
      <c r="A21" s="359" t="s">
        <v>526</v>
      </c>
      <c r="B21" s="144">
        <v>1007</v>
      </c>
      <c r="C21" s="360">
        <v>6.1537840909090882E-2</v>
      </c>
      <c r="D21" s="360">
        <v>6.918678973224604E-2</v>
      </c>
      <c r="E21" s="360">
        <v>0.19175452489110154</v>
      </c>
      <c r="F21" s="360">
        <v>0.22243146519854123</v>
      </c>
      <c r="G21" s="361">
        <v>1.0025716503468709</v>
      </c>
      <c r="H21" s="361">
        <v>1.0511211184102125</v>
      </c>
      <c r="I21" s="360">
        <v>6.9844576420428239E-2</v>
      </c>
      <c r="J21" s="360">
        <v>0.31021095939892362</v>
      </c>
      <c r="K21" s="360">
        <v>3.5299999999999998E-2</v>
      </c>
      <c r="L21" s="360">
        <v>0.15546475930731418</v>
      </c>
      <c r="M21" s="360">
        <v>6.3040122323126099E-2</v>
      </c>
      <c r="N21" s="361">
        <v>3.2119052522719165</v>
      </c>
      <c r="O21" s="361">
        <v>1.441639137513786</v>
      </c>
      <c r="P21" s="361">
        <v>14.007509742166441</v>
      </c>
      <c r="Q21" s="361">
        <v>20.066899366604499</v>
      </c>
      <c r="R21" s="361">
        <v>3.8685276547508676</v>
      </c>
      <c r="S21" s="361">
        <v>60.298218937586419</v>
      </c>
      <c r="T21" s="360">
        <v>0.13181020432004231</v>
      </c>
      <c r="U21" s="360">
        <v>1.6630968016223786E-2</v>
      </c>
      <c r="V21" s="360">
        <v>1.0223152944133935E-2</v>
      </c>
      <c r="W21" s="360">
        <v>9.8322118406711428E-2</v>
      </c>
      <c r="X21" s="360">
        <v>0.14318370184159132</v>
      </c>
      <c r="Y21" s="360">
        <v>0.51514467077835424</v>
      </c>
      <c r="Z21" s="360">
        <v>0.51514467077835424</v>
      </c>
      <c r="AA21" s="362">
        <v>7.1136549470746033E-2</v>
      </c>
    </row>
    <row r="22" spans="1:27" s="320" customFormat="1">
      <c r="A22" s="359" t="s">
        <v>527</v>
      </c>
      <c r="B22" s="144">
        <v>337</v>
      </c>
      <c r="C22" s="360">
        <v>5.8444534412955542E-3</v>
      </c>
      <c r="D22" s="360">
        <v>0.10061552016867199</v>
      </c>
      <c r="E22" s="360">
        <v>0.15095340226442908</v>
      </c>
      <c r="F22" s="360">
        <v>0.1888157572805608</v>
      </c>
      <c r="G22" s="361">
        <v>1.2349266090265119</v>
      </c>
      <c r="H22" s="361">
        <v>1.2663921417568875</v>
      </c>
      <c r="I22" s="360">
        <v>8.2244187365196716E-2</v>
      </c>
      <c r="J22" s="360">
        <v>0.31511930727499099</v>
      </c>
      <c r="K22" s="360">
        <v>3.5299999999999998E-2</v>
      </c>
      <c r="L22" s="360">
        <v>9.6442469183214571E-2</v>
      </c>
      <c r="M22" s="360">
        <v>7.6827199294823331E-2</v>
      </c>
      <c r="N22" s="361">
        <v>1.6523591911652566</v>
      </c>
      <c r="O22" s="361">
        <v>2.8016692606470146</v>
      </c>
      <c r="P22" s="361">
        <v>18.051479681681482</v>
      </c>
      <c r="Q22" s="361">
        <v>27.536708740206596</v>
      </c>
      <c r="R22" s="361">
        <v>6.205039303815056</v>
      </c>
      <c r="S22" s="361">
        <v>57.748484821262934</v>
      </c>
      <c r="T22" s="360">
        <v>1.6198343975937411E-2</v>
      </c>
      <c r="U22" s="360">
        <v>4.4776418516260838E-2</v>
      </c>
      <c r="V22" s="360">
        <v>2.922467877265536E-2</v>
      </c>
      <c r="W22" s="360">
        <v>0.35941514592995583</v>
      </c>
      <c r="X22" s="360">
        <v>0.19085449785345163</v>
      </c>
      <c r="Y22" s="360">
        <v>0.34570791278462731</v>
      </c>
      <c r="Z22" s="360">
        <v>0.34570791278462731</v>
      </c>
      <c r="AA22" s="362">
        <v>0.10381742632021614</v>
      </c>
    </row>
    <row r="23" spans="1:27" s="320" customFormat="1">
      <c r="A23" s="359" t="s">
        <v>528</v>
      </c>
      <c r="B23" s="144">
        <v>753</v>
      </c>
      <c r="C23" s="360">
        <v>3.7298051724137936E-2</v>
      </c>
      <c r="D23" s="360">
        <v>9.3247578389235378E-2</v>
      </c>
      <c r="E23" s="360">
        <v>9.4529588248266239E-2</v>
      </c>
      <c r="F23" s="360">
        <v>0.22249109691449359</v>
      </c>
      <c r="G23" s="361">
        <v>0.94890079691153817</v>
      </c>
      <c r="H23" s="361">
        <v>1.0957343284461016</v>
      </c>
      <c r="I23" s="360">
        <v>7.2414297318495455E-2</v>
      </c>
      <c r="J23" s="360">
        <v>0.28733443270571196</v>
      </c>
      <c r="K23" s="360">
        <v>3.5299999999999998E-2</v>
      </c>
      <c r="L23" s="360">
        <v>0.28909912122032472</v>
      </c>
      <c r="M23" s="360">
        <v>5.9017968085775627E-2</v>
      </c>
      <c r="N23" s="361">
        <v>1.1582545079632034</v>
      </c>
      <c r="O23" s="361">
        <v>1.5904793753246216</v>
      </c>
      <c r="P23" s="361">
        <v>10.895685858664661</v>
      </c>
      <c r="Q23" s="361">
        <v>16.464972101413746</v>
      </c>
      <c r="R23" s="361">
        <v>1.7597374934063412</v>
      </c>
      <c r="S23" s="361">
        <v>49.378073140223421</v>
      </c>
      <c r="T23" s="360">
        <v>0.10099063374463307</v>
      </c>
      <c r="U23" s="360">
        <v>5.0622546604210082E-2</v>
      </c>
      <c r="V23" s="360">
        <v>1.8318278884244948E-2</v>
      </c>
      <c r="W23" s="360">
        <v>4.8594004039031094E-2</v>
      </c>
      <c r="X23" s="360">
        <v>7.9863493751908043E-2</v>
      </c>
      <c r="Y23" s="360">
        <v>0.59339195985943127</v>
      </c>
      <c r="Z23" s="360">
        <v>0.59339195985943127</v>
      </c>
      <c r="AA23" s="362">
        <v>9.4412462921229554E-2</v>
      </c>
    </row>
    <row r="24" spans="1:27" s="320" customFormat="1">
      <c r="A24" s="359" t="s">
        <v>529</v>
      </c>
      <c r="B24" s="144">
        <v>324</v>
      </c>
      <c r="C24" s="360">
        <v>5.6422099236641224E-2</v>
      </c>
      <c r="D24" s="360">
        <v>0.12433811979973126</v>
      </c>
      <c r="E24" s="360">
        <v>8.5534691994121739E-2</v>
      </c>
      <c r="F24" s="360">
        <v>0.20381517830430806</v>
      </c>
      <c r="G24" s="361">
        <v>0.73250789558065488</v>
      </c>
      <c r="H24" s="361">
        <v>0.98923416899169192</v>
      </c>
      <c r="I24" s="360">
        <v>6.6279888133921452E-2</v>
      </c>
      <c r="J24" s="360">
        <v>0.23451037040077102</v>
      </c>
      <c r="K24" s="360">
        <v>2.8699999999999996E-2</v>
      </c>
      <c r="L24" s="360">
        <v>0.4032320075676552</v>
      </c>
      <c r="M24" s="360">
        <v>4.8102512570840208E-2</v>
      </c>
      <c r="N24" s="361">
        <v>0.79448694302188061</v>
      </c>
      <c r="O24" s="361">
        <v>1.8159464762698883</v>
      </c>
      <c r="P24" s="361">
        <v>10.243369841838692</v>
      </c>
      <c r="Q24" s="361">
        <v>14.178655182290706</v>
      </c>
      <c r="R24" s="361">
        <v>1.0856816986322737</v>
      </c>
      <c r="S24" s="361">
        <v>38.045900877776397</v>
      </c>
      <c r="T24" s="360">
        <v>-0.20773026042628404</v>
      </c>
      <c r="U24" s="360">
        <v>5.3396801858687851E-2</v>
      </c>
      <c r="V24" s="360">
        <v>2.9322671623944405E-2</v>
      </c>
      <c r="W24" s="360">
        <v>0.34756508034898165</v>
      </c>
      <c r="X24" s="360">
        <v>7.7385297903741823E-2</v>
      </c>
      <c r="Y24" s="360">
        <v>0.33957022768072453</v>
      </c>
      <c r="Z24" s="360">
        <v>0.33957022768072453</v>
      </c>
      <c r="AA24" s="362">
        <v>0.12451555409757133</v>
      </c>
    </row>
    <row r="25" spans="1:27" s="320" customFormat="1">
      <c r="A25" s="359" t="s">
        <v>530</v>
      </c>
      <c r="B25" s="144">
        <v>1139</v>
      </c>
      <c r="C25" s="360">
        <v>0.24874885441527453</v>
      </c>
      <c r="D25" s="360">
        <v>6.2090736562745635E-2</v>
      </c>
      <c r="E25" s="360">
        <v>4.8520371222469147E-2</v>
      </c>
      <c r="F25" s="360">
        <v>0.13519785478395316</v>
      </c>
      <c r="G25" s="361">
        <v>0.96853947781291849</v>
      </c>
      <c r="H25" s="361">
        <v>0.98468010751053503</v>
      </c>
      <c r="I25" s="360">
        <v>6.6017574192606815E-2</v>
      </c>
      <c r="J25" s="360">
        <v>0.45626529096284685</v>
      </c>
      <c r="K25" s="360">
        <v>3.9480000000000001E-2</v>
      </c>
      <c r="L25" s="360">
        <v>9.8719964981670572E-2</v>
      </c>
      <c r="M25" s="360">
        <v>6.2379378397587615E-2</v>
      </c>
      <c r="N25" s="361">
        <v>0.48980970593293854</v>
      </c>
      <c r="O25" s="361">
        <v>10.37014698527021</v>
      </c>
      <c r="P25" s="361">
        <v>18.612858580057853</v>
      </c>
      <c r="Q25" s="361">
        <v>106.33980521815054</v>
      </c>
      <c r="R25" s="361">
        <v>7.2999715462707568</v>
      </c>
      <c r="S25" s="361">
        <v>547.8497415618034</v>
      </c>
      <c r="T25" s="360">
        <v>0.18818201472731777</v>
      </c>
      <c r="U25" s="360">
        <v>5.3017714675160095E-2</v>
      </c>
      <c r="V25" s="360">
        <v>0.3156280800304832</v>
      </c>
      <c r="W25" s="360">
        <v>15.404114494332054</v>
      </c>
      <c r="X25" s="360">
        <v>-4.3762485981236963E-2</v>
      </c>
      <c r="Y25" s="360">
        <v>3.0911094147499291E-3</v>
      </c>
      <c r="Z25" s="360">
        <v>3.0911094147498819E-3</v>
      </c>
      <c r="AA25" s="362">
        <v>0.10026016955868507</v>
      </c>
    </row>
    <row r="26" spans="1:27" s="320" customFormat="1">
      <c r="A26" s="359" t="s">
        <v>531</v>
      </c>
      <c r="B26" s="144">
        <v>1319</v>
      </c>
      <c r="C26" s="360">
        <v>0.16983117021276595</v>
      </c>
      <c r="D26" s="360">
        <v>0.16853669271730168</v>
      </c>
      <c r="E26" s="360">
        <v>0.12495543650621611</v>
      </c>
      <c r="F26" s="360">
        <v>0.16971692757229118</v>
      </c>
      <c r="G26" s="361">
        <v>0.92571979144987038</v>
      </c>
      <c r="H26" s="361">
        <v>0.99657067504327113</v>
      </c>
      <c r="I26" s="360">
        <v>6.6702470882492412E-2</v>
      </c>
      <c r="J26" s="360">
        <v>0.3991727855676368</v>
      </c>
      <c r="K26" s="360">
        <v>3.5299999999999998E-2</v>
      </c>
      <c r="L26" s="360">
        <v>0.15009921470735643</v>
      </c>
      <c r="M26" s="360">
        <v>6.060448601761264E-2</v>
      </c>
      <c r="N26" s="361">
        <v>0.75596349788708983</v>
      </c>
      <c r="O26" s="361">
        <v>4.3834692879439086</v>
      </c>
      <c r="P26" s="361">
        <v>15.066080670816556</v>
      </c>
      <c r="Q26" s="361">
        <v>24.385692717357813</v>
      </c>
      <c r="R26" s="361">
        <v>3.8974323376359465</v>
      </c>
      <c r="S26" s="361">
        <v>78.513768471412689</v>
      </c>
      <c r="T26" s="360">
        <v>0.17082126261777686</v>
      </c>
      <c r="U26" s="360">
        <v>4.7018021944881555E-2</v>
      </c>
      <c r="V26" s="360">
        <v>5.0876169874615712E-2</v>
      </c>
      <c r="W26" s="360">
        <v>0.44042536242193581</v>
      </c>
      <c r="X26" s="360">
        <v>0.10897933255853319</v>
      </c>
      <c r="Y26" s="360">
        <v>0.82238944606113296</v>
      </c>
      <c r="Z26" s="360">
        <v>0.82238944606113296</v>
      </c>
      <c r="AA26" s="362">
        <v>0.18088395166223137</v>
      </c>
    </row>
    <row r="27" spans="1:27" s="320" customFormat="1">
      <c r="A27" s="359" t="s">
        <v>532</v>
      </c>
      <c r="B27" s="144">
        <v>250</v>
      </c>
      <c r="C27" s="360">
        <v>0.12704097744360907</v>
      </c>
      <c r="D27" s="360">
        <v>7.2131753119042935E-2</v>
      </c>
      <c r="E27" s="360">
        <v>7.5526840454570712E-2</v>
      </c>
      <c r="F27" s="360">
        <v>0.19574051846959023</v>
      </c>
      <c r="G27" s="361">
        <v>0.94994619071920761</v>
      </c>
      <c r="H27" s="361">
        <v>0.97738627590488714</v>
      </c>
      <c r="I27" s="360">
        <v>6.5597449492121498E-2</v>
      </c>
      <c r="J27" s="360">
        <v>0.32663572682842823</v>
      </c>
      <c r="K27" s="360">
        <v>3.5299999999999998E-2</v>
      </c>
      <c r="L27" s="360">
        <v>0.12578498956409234</v>
      </c>
      <c r="M27" s="360">
        <v>6.0626258216546047E-2</v>
      </c>
      <c r="N27" s="361">
        <v>1.0923545764525615</v>
      </c>
      <c r="O27" s="361">
        <v>4.8768075279836705</v>
      </c>
      <c r="P27" s="361">
        <v>23.878787288397817</v>
      </c>
      <c r="Q27" s="361">
        <v>58.552180606140766</v>
      </c>
      <c r="R27" s="361">
        <v>4.8446548222426919</v>
      </c>
      <c r="S27" s="361">
        <v>58.531703097921692</v>
      </c>
      <c r="T27" s="360">
        <v>2.188975227689002E-2</v>
      </c>
      <c r="U27" s="360">
        <v>6.5031085630566504E-2</v>
      </c>
      <c r="V27" s="360">
        <v>6.5653008884506758E-2</v>
      </c>
      <c r="W27" s="360">
        <v>1.3104919746550734</v>
      </c>
      <c r="X27" s="360">
        <v>-2.804382309882154E-3</v>
      </c>
      <c r="Y27" s="360">
        <v>6.523303783484505E-3</v>
      </c>
      <c r="Z27" s="360">
        <v>6.5233037834845353E-3</v>
      </c>
      <c r="AA27" s="362">
        <v>7.7552555577409421E-2</v>
      </c>
    </row>
    <row r="28" spans="1:27" s="320" customFormat="1">
      <c r="A28" s="359" t="s">
        <v>533</v>
      </c>
      <c r="B28" s="144">
        <v>950</v>
      </c>
      <c r="C28" s="360">
        <v>6.3008890675241111E-2</v>
      </c>
      <c r="D28" s="360">
        <v>5.6852609761771228E-2</v>
      </c>
      <c r="E28" s="360">
        <v>8.1676275515389682E-2</v>
      </c>
      <c r="F28" s="360">
        <v>0.20785023241521311</v>
      </c>
      <c r="G28" s="361">
        <v>1.0579135270894295</v>
      </c>
      <c r="H28" s="361">
        <v>1.0879948514578053</v>
      </c>
      <c r="I28" s="360">
        <v>7.1968503443969586E-2</v>
      </c>
      <c r="J28" s="360">
        <v>0.32303029790442339</v>
      </c>
      <c r="K28" s="360">
        <v>3.5299999999999998E-2</v>
      </c>
      <c r="L28" s="360">
        <v>0.13585721813792845</v>
      </c>
      <c r="M28" s="360">
        <v>6.5733690536980569E-2</v>
      </c>
      <c r="N28" s="361">
        <v>1.5372083965326797</v>
      </c>
      <c r="O28" s="361">
        <v>2.3402953125293577</v>
      </c>
      <c r="P28" s="361">
        <v>20.354938143376994</v>
      </c>
      <c r="Q28" s="361">
        <v>36.590130464451114</v>
      </c>
      <c r="R28" s="361">
        <v>3.3101473810447177</v>
      </c>
      <c r="S28" s="361">
        <v>71.441479180136341</v>
      </c>
      <c r="T28" s="360">
        <v>0.23327615141193275</v>
      </c>
      <c r="U28" s="360">
        <v>4.8247156140550231E-2</v>
      </c>
      <c r="V28" s="360">
        <v>3.4684790481956412E-2</v>
      </c>
      <c r="W28" s="360">
        <v>0.54820858518987137</v>
      </c>
      <c r="X28" s="360">
        <v>6.6250105106724314E-2</v>
      </c>
      <c r="Y28" s="360">
        <v>0.66747178952674124</v>
      </c>
      <c r="Z28" s="360">
        <v>0.66747178952674124</v>
      </c>
      <c r="AA28" s="362">
        <v>5.9884377848851741E-2</v>
      </c>
    </row>
    <row r="29" spans="1:27" s="320" customFormat="1">
      <c r="A29" s="359" t="s">
        <v>534</v>
      </c>
      <c r="B29" s="144">
        <v>142</v>
      </c>
      <c r="C29" s="360">
        <v>8.1176923076922997E-3</v>
      </c>
      <c r="D29" s="360">
        <v>4.8278815135258141E-2</v>
      </c>
      <c r="E29" s="360">
        <v>7.205652394224428E-2</v>
      </c>
      <c r="F29" s="360">
        <v>9.7516731245552851E-2</v>
      </c>
      <c r="G29" s="361">
        <v>1.1451093729622841</v>
      </c>
      <c r="H29" s="361">
        <v>1.2232666801248744</v>
      </c>
      <c r="I29" s="360">
        <v>7.9760160775192768E-2</v>
      </c>
      <c r="J29" s="360">
        <v>0.34394965103557618</v>
      </c>
      <c r="K29" s="360">
        <v>3.5299999999999998E-2</v>
      </c>
      <c r="L29" s="360">
        <v>0.23944913896642778</v>
      </c>
      <c r="M29" s="360">
        <v>6.6905561040842873E-2</v>
      </c>
      <c r="N29" s="361">
        <v>1.5664643247494714</v>
      </c>
      <c r="O29" s="361">
        <v>1.0773828965113874</v>
      </c>
      <c r="P29" s="361">
        <v>11.497667691691621</v>
      </c>
      <c r="Q29" s="361">
        <v>21.323618694899746</v>
      </c>
      <c r="R29" s="361">
        <v>2.0661965403358313</v>
      </c>
      <c r="S29" s="361">
        <v>46.43510074669959</v>
      </c>
      <c r="T29" s="360">
        <v>-8.4528108991364509E-3</v>
      </c>
      <c r="U29" s="360">
        <v>5.5181827278201354E-2</v>
      </c>
      <c r="V29" s="360">
        <v>3.7719846921732664E-2</v>
      </c>
      <c r="W29" s="360">
        <v>0.7548371951620465</v>
      </c>
      <c r="X29" s="360">
        <v>0.12116348626652564</v>
      </c>
      <c r="Y29" s="360">
        <v>0.23661088651545462</v>
      </c>
      <c r="Z29" s="360">
        <v>0.23661088651545459</v>
      </c>
      <c r="AA29" s="362">
        <v>5.0957460160285552E-2</v>
      </c>
    </row>
    <row r="30" spans="1:27" s="320" customFormat="1">
      <c r="A30" s="359" t="s">
        <v>535</v>
      </c>
      <c r="B30" s="144">
        <v>1387</v>
      </c>
      <c r="C30" s="360">
        <v>5.0390326732673289E-2</v>
      </c>
      <c r="D30" s="360">
        <v>6.1342235854791552E-2</v>
      </c>
      <c r="E30" s="360">
        <v>8.6881647086074792E-2</v>
      </c>
      <c r="F30" s="360">
        <v>0.20994618893740422</v>
      </c>
      <c r="G30" s="361">
        <v>1.2454565864733256</v>
      </c>
      <c r="H30" s="361">
        <v>1.2443153031203971</v>
      </c>
      <c r="I30" s="360">
        <v>8.0972561459734874E-2</v>
      </c>
      <c r="J30" s="360">
        <v>0.31036294425684963</v>
      </c>
      <c r="K30" s="360">
        <v>3.5299999999999998E-2</v>
      </c>
      <c r="L30" s="360">
        <v>0.12690751313957163</v>
      </c>
      <c r="M30" s="360">
        <v>7.4005789324792723E-2</v>
      </c>
      <c r="N30" s="361">
        <v>1.5158138320632371</v>
      </c>
      <c r="O30" s="361">
        <v>1.8913312732412311</v>
      </c>
      <c r="P30" s="361">
        <v>16.689991322975818</v>
      </c>
      <c r="Q30" s="361">
        <v>29.746316242580836</v>
      </c>
      <c r="R30" s="361">
        <v>2.9647995193624102</v>
      </c>
      <c r="S30" s="361">
        <v>85.413068323606652</v>
      </c>
      <c r="T30" s="360">
        <v>0.17577548317404054</v>
      </c>
      <c r="U30" s="360">
        <v>5.975750426334641E-2</v>
      </c>
      <c r="V30" s="360">
        <v>4.4691136935935141E-2</v>
      </c>
      <c r="W30" s="360">
        <v>1.0368999529833396</v>
      </c>
      <c r="X30" s="360">
        <v>6.8107459281812763E-2</v>
      </c>
      <c r="Y30" s="360">
        <v>0.59835275240457242</v>
      </c>
      <c r="Z30" s="360">
        <v>0.59835275240457242</v>
      </c>
      <c r="AA30" s="362">
        <v>6.4820955394217547E-2</v>
      </c>
    </row>
    <row r="31" spans="1:27" s="320" customFormat="1">
      <c r="A31" s="359" t="s">
        <v>536</v>
      </c>
      <c r="B31" s="144">
        <v>1263</v>
      </c>
      <c r="C31" s="360">
        <v>3.7295628140703509E-2</v>
      </c>
      <c r="D31" s="360">
        <v>4.9304619831453879E-2</v>
      </c>
      <c r="E31" s="360">
        <v>8.8906412537391316E-2</v>
      </c>
      <c r="F31" s="360">
        <v>0.25896414975609133</v>
      </c>
      <c r="G31" s="361">
        <v>0.76675383770170491</v>
      </c>
      <c r="H31" s="361">
        <v>1.0397204401367581</v>
      </c>
      <c r="I31" s="360">
        <v>6.9187897351877262E-2</v>
      </c>
      <c r="J31" s="360">
        <v>0.29240085762704454</v>
      </c>
      <c r="K31" s="360">
        <v>3.5299999999999998E-2</v>
      </c>
      <c r="L31" s="360">
        <v>0.49910757360012159</v>
      </c>
      <c r="M31" s="360">
        <v>4.7670477773117385E-2</v>
      </c>
      <c r="N31" s="361">
        <v>2.015523697242366</v>
      </c>
      <c r="O31" s="361">
        <v>0.60276547552377335</v>
      </c>
      <c r="P31" s="361">
        <v>8.2208073594692692</v>
      </c>
      <c r="Q31" s="361">
        <v>11.639582527367274</v>
      </c>
      <c r="R31" s="361">
        <v>0.99480011040100902</v>
      </c>
      <c r="S31" s="361">
        <v>52.359156800334404</v>
      </c>
      <c r="T31" s="360">
        <v>0.16221290140247865</v>
      </c>
      <c r="U31" s="360">
        <v>3.5168349771354322E-2</v>
      </c>
      <c r="V31" s="360">
        <v>2.8834079349742761E-2</v>
      </c>
      <c r="W31" s="360">
        <v>1.2978074837439155</v>
      </c>
      <c r="X31" s="360">
        <v>7.889668580581656E-2</v>
      </c>
      <c r="Y31" s="360">
        <v>0.62951325192642515</v>
      </c>
      <c r="Z31" s="360">
        <v>0.62951325192642515</v>
      </c>
      <c r="AA31" s="362">
        <v>5.2065500419520849E-2</v>
      </c>
    </row>
    <row r="32" spans="1:27" s="320" customFormat="1">
      <c r="A32" s="359" t="s">
        <v>537</v>
      </c>
      <c r="B32" s="144">
        <v>725</v>
      </c>
      <c r="C32" s="360">
        <v>8.470911917098442E-2</v>
      </c>
      <c r="D32" s="360">
        <v>7.7100948431442745E-2</v>
      </c>
      <c r="E32" s="360">
        <v>8.7514870061003849E-2</v>
      </c>
      <c r="F32" s="360">
        <v>0.15404275789668376</v>
      </c>
      <c r="G32" s="361">
        <v>1.040905952611656</v>
      </c>
      <c r="H32" s="361">
        <v>1.0712915032145511</v>
      </c>
      <c r="I32" s="360">
        <v>7.1006390585158147E-2</v>
      </c>
      <c r="J32" s="360">
        <v>0.39451893814144784</v>
      </c>
      <c r="K32" s="360">
        <v>3.5299999999999998E-2</v>
      </c>
      <c r="L32" s="360">
        <v>0.1153220291715905</v>
      </c>
      <c r="M32" s="360">
        <v>6.5824939456828796E-2</v>
      </c>
      <c r="N32" s="361">
        <v>1.1594694268534209</v>
      </c>
      <c r="O32" s="361">
        <v>5.4348748974472016</v>
      </c>
      <c r="P32" s="361">
        <v>26.537136907432146</v>
      </c>
      <c r="Q32" s="361">
        <v>58.662404873260158</v>
      </c>
      <c r="R32" s="361">
        <v>4.6180858715348405</v>
      </c>
      <c r="S32" s="361">
        <v>128.44246118947501</v>
      </c>
      <c r="T32" s="360">
        <v>1.7942437602176023E-2</v>
      </c>
      <c r="U32" s="360">
        <v>4.2655671576591753E-2</v>
      </c>
      <c r="V32" s="360">
        <v>9.3494386894196497E-3</v>
      </c>
      <c r="W32" s="360">
        <v>0.15875638267781322</v>
      </c>
      <c r="X32" s="360">
        <v>-1.271993149832526E-2</v>
      </c>
      <c r="Y32" s="360">
        <v>2.1256264085103057E-3</v>
      </c>
      <c r="Z32" s="360">
        <v>2.1256264085103282E-3</v>
      </c>
      <c r="AA32" s="362">
        <v>8.042779146316989E-2</v>
      </c>
    </row>
    <row r="33" spans="1:27" s="320" customFormat="1">
      <c r="A33" s="359" t="s">
        <v>538</v>
      </c>
      <c r="B33" s="144">
        <v>344</v>
      </c>
      <c r="C33" s="360">
        <v>9.8499375000000014E-2</v>
      </c>
      <c r="D33" s="360">
        <v>0.10326787383667504</v>
      </c>
      <c r="E33" s="360">
        <v>0.11623827276818133</v>
      </c>
      <c r="F33" s="360">
        <v>0.21080225234559513</v>
      </c>
      <c r="G33" s="361">
        <v>0.86790192836023594</v>
      </c>
      <c r="H33" s="361">
        <v>1.0140033069350232</v>
      </c>
      <c r="I33" s="360">
        <v>6.7706590479457332E-2</v>
      </c>
      <c r="J33" s="360">
        <v>0.35246919311609709</v>
      </c>
      <c r="K33" s="360">
        <v>3.5299999999999998E-2</v>
      </c>
      <c r="L33" s="360">
        <v>0.24776005942461762</v>
      </c>
      <c r="M33" s="360">
        <v>5.7392220161991594E-2</v>
      </c>
      <c r="N33" s="361">
        <v>1.2571207546733698</v>
      </c>
      <c r="O33" s="361">
        <v>2.7959298193754965</v>
      </c>
      <c r="P33" s="361">
        <v>14.656568648465615</v>
      </c>
      <c r="Q33" s="361">
        <v>26.157079707773701</v>
      </c>
      <c r="R33" s="361">
        <v>3.1447483955142239</v>
      </c>
      <c r="S33" s="361">
        <v>86.822272409236035</v>
      </c>
      <c r="T33" s="360">
        <v>0.11383407503502893</v>
      </c>
      <c r="U33" s="360">
        <v>9.8730797546295712E-2</v>
      </c>
      <c r="V33" s="360">
        <v>6.5891145365904916E-2</v>
      </c>
      <c r="W33" s="360">
        <v>1.0994698185737106</v>
      </c>
      <c r="X33" s="360">
        <v>5.7827722658337952E-2</v>
      </c>
      <c r="Y33" s="360">
        <v>0.93627634710539465</v>
      </c>
      <c r="Z33" s="360">
        <v>0.93627634710539465</v>
      </c>
      <c r="AA33" s="362">
        <v>0.10445466044930429</v>
      </c>
    </row>
    <row r="34" spans="1:27" s="320" customFormat="1">
      <c r="A34" s="359" t="s">
        <v>539</v>
      </c>
      <c r="B34" s="144">
        <v>410</v>
      </c>
      <c r="C34" s="360">
        <v>6.194767361111108E-2</v>
      </c>
      <c r="D34" s="360">
        <v>6.7614463895848131E-2</v>
      </c>
      <c r="E34" s="360">
        <v>7.4183442309023379E-2</v>
      </c>
      <c r="F34" s="360">
        <v>0.19350964755693048</v>
      </c>
      <c r="G34" s="361">
        <v>0.70773444118369322</v>
      </c>
      <c r="H34" s="361">
        <v>0.89360531866188975</v>
      </c>
      <c r="I34" s="360">
        <v>6.0771666354924841E-2</v>
      </c>
      <c r="J34" s="360">
        <v>0.30717166214933039</v>
      </c>
      <c r="K34" s="360">
        <v>3.5299999999999998E-2</v>
      </c>
      <c r="L34" s="360">
        <v>0.31685744471309574</v>
      </c>
      <c r="M34" s="360">
        <v>4.9778121025404146E-2</v>
      </c>
      <c r="N34" s="361">
        <v>1.2219439380942514</v>
      </c>
      <c r="O34" s="361">
        <v>1.4468366889108679</v>
      </c>
      <c r="P34" s="361">
        <v>14.105661693067541</v>
      </c>
      <c r="Q34" s="361">
        <v>20.684220239893335</v>
      </c>
      <c r="R34" s="361">
        <v>2.301113053186465</v>
      </c>
      <c r="S34" s="361">
        <v>50.260831587171047</v>
      </c>
      <c r="T34" s="360">
        <v>0.15490728976047841</v>
      </c>
      <c r="U34" s="360">
        <v>5.80168189215617E-2</v>
      </c>
      <c r="V34" s="360">
        <v>3.6775287398929934E-2</v>
      </c>
      <c r="W34" s="360">
        <v>0.5379964376059525</v>
      </c>
      <c r="X34" s="360">
        <v>9.4518908378344133E-2</v>
      </c>
      <c r="Y34" s="360">
        <v>0.40754280163089707</v>
      </c>
      <c r="Z34" s="360">
        <v>0.40754280163089707</v>
      </c>
      <c r="AA34" s="362">
        <v>6.8790248483328389E-2</v>
      </c>
    </row>
    <row r="35" spans="1:27" s="320" customFormat="1">
      <c r="A35" s="359" t="s">
        <v>540</v>
      </c>
      <c r="B35" s="144">
        <v>1096</v>
      </c>
      <c r="C35" s="360">
        <v>8.9804894810659203E-2</v>
      </c>
      <c r="D35" s="360">
        <v>9.1703478771580568E-2</v>
      </c>
      <c r="E35" s="360">
        <v>5.192044272108589E-3</v>
      </c>
      <c r="F35" s="360">
        <v>0.18413512117724837</v>
      </c>
      <c r="G35" s="361">
        <v>0.16420934370708237</v>
      </c>
      <c r="H35" s="361">
        <v>0.80469436737828548</v>
      </c>
      <c r="I35" s="360">
        <v>5.5650395560989246E-2</v>
      </c>
      <c r="J35" s="360">
        <v>0.29683347769977464</v>
      </c>
      <c r="K35" s="360">
        <v>3.5299999999999998E-2</v>
      </c>
      <c r="L35" s="360">
        <v>0.85720753477971157</v>
      </c>
      <c r="M35" s="360">
        <v>3.0299095142382437E-2</v>
      </c>
      <c r="N35" s="361">
        <v>6.6212056583994192E-2</v>
      </c>
      <c r="O35" s="361">
        <v>17.207044491329235</v>
      </c>
      <c r="P35" s="361">
        <v>113.75739635310738</v>
      </c>
      <c r="Q35" s="361">
        <v>154.76750093060386</v>
      </c>
      <c r="R35" s="361">
        <v>1.4189051169891547</v>
      </c>
      <c r="S35" s="361">
        <v>67.242738833780436</v>
      </c>
      <c r="T35" s="360" t="s">
        <v>98</v>
      </c>
      <c r="U35" s="360">
        <v>5.9113666863356923E-2</v>
      </c>
      <c r="V35" s="360">
        <v>8.108812194805326E-2</v>
      </c>
      <c r="W35" s="360">
        <v>1.1718657109301276</v>
      </c>
      <c r="X35" s="360">
        <v>0.1395851811891469</v>
      </c>
      <c r="Y35" s="360">
        <v>0.27979347061329601</v>
      </c>
      <c r="Z35" s="360">
        <v>0.27979347061329607</v>
      </c>
      <c r="AA35" s="362">
        <v>9.1363360416340841E-2</v>
      </c>
    </row>
    <row r="36" spans="1:27" s="320" customFormat="1">
      <c r="A36" s="359" t="s">
        <v>541</v>
      </c>
      <c r="B36" s="144">
        <v>1322</v>
      </c>
      <c r="C36" s="360">
        <v>7.0594653148345787E-2</v>
      </c>
      <c r="D36" s="360">
        <v>9.4159289151642109E-2</v>
      </c>
      <c r="E36" s="360">
        <v>0.13966565184178689</v>
      </c>
      <c r="F36" s="360">
        <v>0.21667817241269927</v>
      </c>
      <c r="G36" s="361">
        <v>0.70733018925052682</v>
      </c>
      <c r="H36" s="361">
        <v>0.78455022333554747</v>
      </c>
      <c r="I36" s="360">
        <v>5.4490092864127537E-2</v>
      </c>
      <c r="J36" s="360">
        <v>0.26947012384238073</v>
      </c>
      <c r="K36" s="360">
        <v>3.5299999999999998E-2</v>
      </c>
      <c r="L36" s="360">
        <v>0.18922377423490769</v>
      </c>
      <c r="M36" s="360">
        <v>4.911349178553133E-2</v>
      </c>
      <c r="N36" s="361">
        <v>1.7218024356757367</v>
      </c>
      <c r="O36" s="361">
        <v>1.869758031832264</v>
      </c>
      <c r="P36" s="361">
        <v>14.141587050804027</v>
      </c>
      <c r="Q36" s="361">
        <v>19.484294866563495</v>
      </c>
      <c r="R36" s="361">
        <v>3.0348116065211279</v>
      </c>
      <c r="S36" s="361">
        <v>72.323406940194133</v>
      </c>
      <c r="T36" s="360">
        <v>9.3352848715996722E-2</v>
      </c>
      <c r="U36" s="360">
        <v>4.6826225415303298E-2</v>
      </c>
      <c r="V36" s="360">
        <v>3.1400103135745858E-2</v>
      </c>
      <c r="W36" s="360">
        <v>0.44803841684065737</v>
      </c>
      <c r="X36" s="360">
        <v>0.13027600894669486</v>
      </c>
      <c r="Y36" s="360">
        <v>0.47239492007148565</v>
      </c>
      <c r="Z36" s="360">
        <v>0.47239492007148565</v>
      </c>
      <c r="AA36" s="362">
        <v>9.4807121987083701E-2</v>
      </c>
    </row>
    <row r="37" spans="1:27" s="320" customFormat="1">
      <c r="A37" s="359" t="s">
        <v>542</v>
      </c>
      <c r="B37" s="144">
        <v>155</v>
      </c>
      <c r="C37" s="360">
        <v>4.7613571428571443E-2</v>
      </c>
      <c r="D37" s="360">
        <v>1.8836296708560765E-2</v>
      </c>
      <c r="E37" s="360">
        <v>7.6941324303874306E-2</v>
      </c>
      <c r="F37" s="360">
        <v>0.24769059632810453</v>
      </c>
      <c r="G37" s="361">
        <v>0.54166639689738061</v>
      </c>
      <c r="H37" s="361">
        <v>0.75527873410851398</v>
      </c>
      <c r="I37" s="360">
        <v>5.28040550846504E-2</v>
      </c>
      <c r="J37" s="360">
        <v>0.3009347792549209</v>
      </c>
      <c r="K37" s="360">
        <v>3.5299999999999998E-2</v>
      </c>
      <c r="L37" s="360">
        <v>0.44072280239557132</v>
      </c>
      <c r="M37" s="360">
        <v>4.1024440224668335E-2</v>
      </c>
      <c r="N37" s="361">
        <v>4.7741072926192594</v>
      </c>
      <c r="O37" s="361">
        <v>0.44679779171562761</v>
      </c>
      <c r="P37" s="361">
        <v>12.840125372920806</v>
      </c>
      <c r="Q37" s="361">
        <v>23.741133675188834</v>
      </c>
      <c r="R37" s="361">
        <v>2.0698104807238042</v>
      </c>
      <c r="S37" s="361">
        <v>43.341589180279904</v>
      </c>
      <c r="T37" s="360">
        <v>4.3030588745050759E-2</v>
      </c>
      <c r="U37" s="360">
        <v>1.326533283554843E-2</v>
      </c>
      <c r="V37" s="360">
        <v>1.6426556508702735E-2</v>
      </c>
      <c r="W37" s="360">
        <v>0.68534718450929188</v>
      </c>
      <c r="X37" s="360">
        <v>1.5973162534866574E-2</v>
      </c>
      <c r="Y37" s="360">
        <v>3.0430782041658815</v>
      </c>
      <c r="Z37" s="360">
        <v>3.0430782041658815</v>
      </c>
      <c r="AA37" s="362">
        <v>1.8561170869412665E-2</v>
      </c>
    </row>
    <row r="38" spans="1:27" s="320" customFormat="1">
      <c r="A38" s="359" t="s">
        <v>543</v>
      </c>
      <c r="B38" s="144">
        <v>357</v>
      </c>
      <c r="C38" s="360">
        <v>4.7406903765690386E-2</v>
      </c>
      <c r="D38" s="360">
        <v>7.1598923548386192E-2</v>
      </c>
      <c r="E38" s="360">
        <v>0.14948321057057429</v>
      </c>
      <c r="F38" s="360">
        <v>0.18096652473002495</v>
      </c>
      <c r="G38" s="361">
        <v>1.0241862469995968</v>
      </c>
      <c r="H38" s="361">
        <v>1.0122029505682673</v>
      </c>
      <c r="I38" s="360">
        <v>6.7602889952732198E-2</v>
      </c>
      <c r="J38" s="360">
        <v>0.28093293789259449</v>
      </c>
      <c r="K38" s="360">
        <v>3.5299999999999998E-2</v>
      </c>
      <c r="L38" s="360">
        <v>0.1493232870393652</v>
      </c>
      <c r="M38" s="360">
        <v>6.1401974670029814E-2</v>
      </c>
      <c r="N38" s="361">
        <v>2.3687307251840988</v>
      </c>
      <c r="O38" s="361">
        <v>1.677304280258096</v>
      </c>
      <c r="P38" s="361">
        <v>15.593919289334458</v>
      </c>
      <c r="Q38" s="361">
        <v>22.641560665659384</v>
      </c>
      <c r="R38" s="361">
        <v>3.6072382991315286</v>
      </c>
      <c r="S38" s="361">
        <v>40.274180767288819</v>
      </c>
      <c r="T38" s="360">
        <v>4.1564176975050701E-2</v>
      </c>
      <c r="U38" s="360">
        <v>3.4304214057021505E-2</v>
      </c>
      <c r="V38" s="360">
        <v>1.546938021201274E-2</v>
      </c>
      <c r="W38" s="360">
        <v>-6.3693368108658013E-2</v>
      </c>
      <c r="X38" s="360">
        <v>0.11898775988900899</v>
      </c>
      <c r="Y38" s="360">
        <v>0.58732839173015261</v>
      </c>
      <c r="Z38" s="360">
        <v>0.58732839173015261</v>
      </c>
      <c r="AA38" s="362">
        <v>7.4036766614085717E-2</v>
      </c>
    </row>
    <row r="39" spans="1:27" s="320" customFormat="1">
      <c r="A39" s="359" t="s">
        <v>544</v>
      </c>
      <c r="B39" s="144">
        <v>226</v>
      </c>
      <c r="C39" s="360">
        <v>0.12060146551724132</v>
      </c>
      <c r="D39" s="360">
        <v>0.34366154402061933</v>
      </c>
      <c r="E39" s="360">
        <v>7.2304073500917096E-2</v>
      </c>
      <c r="F39" s="360">
        <v>0.16204325520177662</v>
      </c>
      <c r="G39" s="361">
        <v>0.69347420092092471</v>
      </c>
      <c r="H39" s="361">
        <v>0.9463745341990184</v>
      </c>
      <c r="I39" s="360">
        <v>6.3811173169863455E-2</v>
      </c>
      <c r="J39" s="360">
        <v>0.31149159758587369</v>
      </c>
      <c r="K39" s="360">
        <v>3.5299999999999998E-2</v>
      </c>
      <c r="L39" s="360">
        <v>0.35726986597488691</v>
      </c>
      <c r="M39" s="360">
        <v>5.032957220861245E-2</v>
      </c>
      <c r="N39" s="361">
        <v>0.23543529419647849</v>
      </c>
      <c r="O39" s="361">
        <v>8.9716718332252796</v>
      </c>
      <c r="P39" s="361">
        <v>15.684857834720361</v>
      </c>
      <c r="Q39" s="361">
        <v>25.873765615835435</v>
      </c>
      <c r="R39" s="361">
        <v>2.121699539751118</v>
      </c>
      <c r="S39" s="361">
        <v>194.24387539612789</v>
      </c>
      <c r="T39" s="360">
        <v>6.8570810341834459E-2</v>
      </c>
      <c r="U39" s="360">
        <v>0.27230306061314391</v>
      </c>
      <c r="V39" s="360">
        <v>0.16008202027903226</v>
      </c>
      <c r="W39" s="360">
        <v>0.69273524639491069</v>
      </c>
      <c r="X39" s="360">
        <v>7.25009138274475E-2</v>
      </c>
      <c r="Y39" s="360">
        <v>1.0712287482913938</v>
      </c>
      <c r="Z39" s="360">
        <v>1.0712287482913938</v>
      </c>
      <c r="AA39" s="362">
        <v>0.34260304920099577</v>
      </c>
    </row>
    <row r="40" spans="1:27" s="320" customFormat="1">
      <c r="A40" s="359" t="s">
        <v>545</v>
      </c>
      <c r="B40" s="144">
        <v>816</v>
      </c>
      <c r="C40" s="360">
        <v>0.12113916666666663</v>
      </c>
      <c r="D40" s="360">
        <v>0.14470585468073399</v>
      </c>
      <c r="E40" s="360">
        <v>0.13144364062566824</v>
      </c>
      <c r="F40" s="360">
        <v>0.1635127416209039</v>
      </c>
      <c r="G40" s="361">
        <v>0.92842368572909717</v>
      </c>
      <c r="H40" s="361">
        <v>0.95776195537525133</v>
      </c>
      <c r="I40" s="360">
        <v>6.4467088629614477E-2</v>
      </c>
      <c r="J40" s="360">
        <v>0.38315666611808902</v>
      </c>
      <c r="K40" s="360">
        <v>3.5299999999999998E-2</v>
      </c>
      <c r="L40" s="360">
        <v>8.867851486125819E-2</v>
      </c>
      <c r="M40" s="360">
        <v>6.1062633660669968E-2</v>
      </c>
      <c r="N40" s="361">
        <v>0.96499602987005151</v>
      </c>
      <c r="O40" s="361">
        <v>6.5061485005422819</v>
      </c>
      <c r="P40" s="361">
        <v>27.021818133579821</v>
      </c>
      <c r="Q40" s="361">
        <v>42.652328601369675</v>
      </c>
      <c r="R40" s="361">
        <v>5.4787511018749306</v>
      </c>
      <c r="S40" s="361">
        <v>421.86898869093397</v>
      </c>
      <c r="T40" s="360">
        <v>0.25020679567499082</v>
      </c>
      <c r="U40" s="360">
        <v>5.2501657588237008E-2</v>
      </c>
      <c r="V40" s="360">
        <v>7.8610551961965855E-2</v>
      </c>
      <c r="W40" s="360">
        <v>0.78363793859484443</v>
      </c>
      <c r="X40" s="360">
        <v>0.1055608332907397</v>
      </c>
      <c r="Y40" s="360">
        <v>0.3716695215235935</v>
      </c>
      <c r="Z40" s="360">
        <v>0.37166952152359345</v>
      </c>
      <c r="AA40" s="362">
        <v>0.14678848552962961</v>
      </c>
    </row>
    <row r="41" spans="1:27" s="320" customFormat="1">
      <c r="A41" s="359" t="s">
        <v>546</v>
      </c>
      <c r="B41" s="144">
        <v>413</v>
      </c>
      <c r="C41" s="360">
        <v>0.12889150442477879</v>
      </c>
      <c r="D41" s="360">
        <v>5.01541588809329E-2</v>
      </c>
      <c r="E41" s="360">
        <v>0.26554555029460702</v>
      </c>
      <c r="F41" s="360">
        <v>0.24082720013969547</v>
      </c>
      <c r="G41" s="361">
        <v>0.7551857751051636</v>
      </c>
      <c r="H41" s="361">
        <v>0.87059608465775995</v>
      </c>
      <c r="I41" s="360">
        <v>5.9446334476286972E-2</v>
      </c>
      <c r="J41" s="360">
        <v>0.33201490923083948</v>
      </c>
      <c r="K41" s="360">
        <v>3.5299999999999998E-2</v>
      </c>
      <c r="L41" s="360">
        <v>0.24769890907542982</v>
      </c>
      <c r="M41" s="360">
        <v>5.1180566277908478E-2</v>
      </c>
      <c r="N41" s="361">
        <v>6.2437594389612219</v>
      </c>
      <c r="O41" s="361">
        <v>0.72846893921980316</v>
      </c>
      <c r="P41" s="361">
        <v>10.847079800290684</v>
      </c>
      <c r="Q41" s="361">
        <v>14.31169370730497</v>
      </c>
      <c r="R41" s="361">
        <v>2.6446384411468586</v>
      </c>
      <c r="S41" s="361">
        <v>86.375216265704736</v>
      </c>
      <c r="T41" s="360">
        <v>-1.6850830279399608E-2</v>
      </c>
      <c r="U41" s="360">
        <v>9.9054606567222838E-3</v>
      </c>
      <c r="V41" s="360">
        <v>8.3521455232424217E-3</v>
      </c>
      <c r="W41" s="360">
        <v>0.21963153396471125</v>
      </c>
      <c r="X41" s="360">
        <v>0.14369234144227325</v>
      </c>
      <c r="Y41" s="360">
        <v>0.29270521401394722</v>
      </c>
      <c r="Z41" s="360">
        <v>0.29270521401394722</v>
      </c>
      <c r="AA41" s="362">
        <v>4.9236607147722204E-2</v>
      </c>
    </row>
    <row r="42" spans="1:27" s="320" customFormat="1">
      <c r="A42" s="359" t="s">
        <v>547</v>
      </c>
      <c r="B42" s="144">
        <v>423</v>
      </c>
      <c r="C42" s="360">
        <v>0.15792810256410247</v>
      </c>
      <c r="D42" s="360">
        <v>0.12879983127276839</v>
      </c>
      <c r="E42" s="360">
        <v>0.14923014613029265</v>
      </c>
      <c r="F42" s="360">
        <v>0.17031472234355802</v>
      </c>
      <c r="G42" s="361">
        <v>0.97133553640995995</v>
      </c>
      <c r="H42" s="361">
        <v>0.99724176939554721</v>
      </c>
      <c r="I42" s="360">
        <v>6.6741125917183522E-2</v>
      </c>
      <c r="J42" s="360">
        <v>0.40100567320191943</v>
      </c>
      <c r="K42" s="360">
        <v>3.9480000000000001E-2</v>
      </c>
      <c r="L42" s="360">
        <v>7.7369118461133216E-2</v>
      </c>
      <c r="M42" s="360">
        <v>6.383380721689734E-2</v>
      </c>
      <c r="N42" s="361">
        <v>1.1849469547433327</v>
      </c>
      <c r="O42" s="361">
        <v>8.6604729945663514</v>
      </c>
      <c r="P42" s="361">
        <v>36.657104653599021</v>
      </c>
      <c r="Q42" s="361">
        <v>61.783658140615152</v>
      </c>
      <c r="R42" s="361">
        <v>8.0843437883825775</v>
      </c>
      <c r="S42" s="361">
        <v>117.84884991076231</v>
      </c>
      <c r="T42" s="360">
        <v>0.22069259313751519</v>
      </c>
      <c r="U42" s="360">
        <v>5.5280843453930119E-2</v>
      </c>
      <c r="V42" s="360">
        <v>2.7834840879121029E-2</v>
      </c>
      <c r="W42" s="360">
        <v>0.40648092120088497</v>
      </c>
      <c r="X42" s="360">
        <v>0.12878899822363232</v>
      </c>
      <c r="Y42" s="360">
        <v>0.14170023353348848</v>
      </c>
      <c r="Z42" s="360">
        <v>0.14170023353348848</v>
      </c>
      <c r="AA42" s="362">
        <v>0.13464518789154892</v>
      </c>
    </row>
    <row r="43" spans="1:27" s="320" customFormat="1">
      <c r="A43" s="359" t="s">
        <v>548</v>
      </c>
      <c r="B43" s="144">
        <v>167</v>
      </c>
      <c r="C43" s="360">
        <v>6.433782945736434E-2</v>
      </c>
      <c r="D43" s="360">
        <v>0.10443997100670073</v>
      </c>
      <c r="E43" s="360">
        <v>9.5042630180982385E-2</v>
      </c>
      <c r="F43" s="360">
        <v>0.22592952506397226</v>
      </c>
      <c r="G43" s="361">
        <v>1.1582984240163801</v>
      </c>
      <c r="H43" s="361">
        <v>1.3074955260239107</v>
      </c>
      <c r="I43" s="360">
        <v>8.4611742298977263E-2</v>
      </c>
      <c r="J43" s="360">
        <v>0.28332874115885343</v>
      </c>
      <c r="K43" s="360">
        <v>3.5299999999999998E-2</v>
      </c>
      <c r="L43" s="360">
        <v>0.29013517792642241</v>
      </c>
      <c r="M43" s="360">
        <v>6.7628496206877858E-2</v>
      </c>
      <c r="N43" s="361">
        <v>1.2643564168022239</v>
      </c>
      <c r="O43" s="361">
        <v>1.2128871862586506</v>
      </c>
      <c r="P43" s="361">
        <v>9.9261690018783764</v>
      </c>
      <c r="Q43" s="361">
        <v>12.77400128588857</v>
      </c>
      <c r="R43" s="361">
        <v>1.5682864771736835</v>
      </c>
      <c r="S43" s="361">
        <v>174.93405380702026</v>
      </c>
      <c r="T43" s="360">
        <v>0.60805829175786186</v>
      </c>
      <c r="U43" s="360">
        <v>1.0310107698711827E-2</v>
      </c>
      <c r="V43" s="360">
        <v>1.2154285274957153E-2</v>
      </c>
      <c r="W43" s="360">
        <v>0.17365130991782143</v>
      </c>
      <c r="X43" s="360">
        <v>0.13346953779498932</v>
      </c>
      <c r="Y43" s="360">
        <v>0.21559760760017976</v>
      </c>
      <c r="Z43" s="360">
        <v>0.21559760760017976</v>
      </c>
      <c r="AA43" s="362">
        <v>9.4154539946735144E-2</v>
      </c>
    </row>
    <row r="44" spans="1:27" s="320" customFormat="1">
      <c r="A44" s="359" t="s">
        <v>549</v>
      </c>
      <c r="B44" s="144">
        <v>216</v>
      </c>
      <c r="C44" s="360">
        <v>5.7736644295302016E-2</v>
      </c>
      <c r="D44" s="360">
        <v>9.2632466588228685E-2</v>
      </c>
      <c r="E44" s="360">
        <v>8.5372354138341336E-2</v>
      </c>
      <c r="F44" s="360">
        <v>0.21652669275093028</v>
      </c>
      <c r="G44" s="361">
        <v>0.65714762128897608</v>
      </c>
      <c r="H44" s="361">
        <v>0.86023877816901739</v>
      </c>
      <c r="I44" s="360">
        <v>5.8849753622535403E-2</v>
      </c>
      <c r="J44" s="360">
        <v>0.27174887814893478</v>
      </c>
      <c r="K44" s="360">
        <v>3.5299999999999998E-2</v>
      </c>
      <c r="L44" s="360">
        <v>0.34025450819536418</v>
      </c>
      <c r="M44" s="360">
        <v>4.7698373629979487E-2</v>
      </c>
      <c r="N44" s="361">
        <v>1.1567613393116589</v>
      </c>
      <c r="O44" s="361">
        <v>2.664429820044965</v>
      </c>
      <c r="P44" s="361">
        <v>15.137243581830917</v>
      </c>
      <c r="Q44" s="361">
        <v>27.531995484459397</v>
      </c>
      <c r="R44" s="361">
        <v>4.6133226053635505</v>
      </c>
      <c r="S44" s="361">
        <v>80.437982909868126</v>
      </c>
      <c r="T44" s="360">
        <v>3.9870889157123175E-2</v>
      </c>
      <c r="U44" s="360">
        <v>7.0752770584079652E-2</v>
      </c>
      <c r="V44" s="360">
        <v>2.409181370053029E-2</v>
      </c>
      <c r="W44" s="360">
        <v>0.15271446938321112</v>
      </c>
      <c r="X44" s="360">
        <v>6.7106176640306645E-2</v>
      </c>
      <c r="Y44" s="360">
        <v>0.6126621759157449</v>
      </c>
      <c r="Z44" s="360">
        <v>0.6126621759157449</v>
      </c>
      <c r="AA44" s="362">
        <v>8.6728126488073584E-2</v>
      </c>
    </row>
    <row r="45" spans="1:27" s="320" customFormat="1">
      <c r="A45" s="359" t="s">
        <v>550</v>
      </c>
      <c r="B45" s="144">
        <v>641</v>
      </c>
      <c r="C45" s="360">
        <v>-9.4980084745762711E-3</v>
      </c>
      <c r="D45" s="360">
        <v>-5.7502661812593864E-2</v>
      </c>
      <c r="E45" s="360">
        <v>-3.0280355968965215E-2</v>
      </c>
      <c r="F45" s="360">
        <v>0.20950361172276596</v>
      </c>
      <c r="G45" s="361">
        <v>0.8472227190304773</v>
      </c>
      <c r="H45" s="361">
        <v>1.0900269937340961</v>
      </c>
      <c r="I45" s="360">
        <v>7.2085554839083937E-2</v>
      </c>
      <c r="J45" s="360">
        <v>0.31461340725880804</v>
      </c>
      <c r="K45" s="360">
        <v>3.5299999999999998E-2</v>
      </c>
      <c r="L45" s="360">
        <v>0.35181874999791884</v>
      </c>
      <c r="M45" s="360">
        <v>5.5898569467699229E-2</v>
      </c>
      <c r="N45" s="361">
        <v>0.45578215616842904</v>
      </c>
      <c r="O45" s="361">
        <v>5.260045195437387</v>
      </c>
      <c r="P45" s="361">
        <v>30.70040958152282</v>
      </c>
      <c r="Q45" s="361" t="s">
        <v>98</v>
      </c>
      <c r="R45" s="361">
        <v>2.916215199759927</v>
      </c>
      <c r="S45" s="361">
        <v>125.16336052023325</v>
      </c>
      <c r="T45" s="360">
        <v>6.4666747951652752E-3</v>
      </c>
      <c r="U45" s="360">
        <v>0.13807782806300675</v>
      </c>
      <c r="V45" s="360">
        <v>5.7999934728785299E-2</v>
      </c>
      <c r="W45" s="360" t="s">
        <v>98</v>
      </c>
      <c r="X45" s="360">
        <v>-0.14748529661620288</v>
      </c>
      <c r="Y45" s="360">
        <v>1.3777250879214746E-2</v>
      </c>
      <c r="Z45" s="360">
        <v>1.3777250879214775E-2</v>
      </c>
      <c r="AA45" s="362">
        <v>-7.1495835219194545E-2</v>
      </c>
    </row>
    <row r="46" spans="1:27" s="320" customFormat="1">
      <c r="A46" s="359" t="s">
        <v>551</v>
      </c>
      <c r="B46" s="144">
        <v>568</v>
      </c>
      <c r="C46" s="360">
        <v>5.9459876160990702E-2</v>
      </c>
      <c r="D46" s="360">
        <v>0.15820258326561418</v>
      </c>
      <c r="E46" s="360">
        <v>0.22372859735810136</v>
      </c>
      <c r="F46" s="360">
        <v>0.23560669219940256</v>
      </c>
      <c r="G46" s="361">
        <v>0.8717875265869961</v>
      </c>
      <c r="H46" s="361">
        <v>0.90887019061406316</v>
      </c>
      <c r="I46" s="360">
        <v>6.165092297937004E-2</v>
      </c>
      <c r="J46" s="360">
        <v>0.35238610342639226</v>
      </c>
      <c r="K46" s="360">
        <v>3.5299999999999998E-2</v>
      </c>
      <c r="L46" s="360">
        <v>0.10628214020009465</v>
      </c>
      <c r="M46" s="360">
        <v>5.7869955718704486E-2</v>
      </c>
      <c r="N46" s="361">
        <v>1.5882858144326051</v>
      </c>
      <c r="O46" s="361">
        <v>3.8447764903630572</v>
      </c>
      <c r="P46" s="361">
        <v>18.642932971149786</v>
      </c>
      <c r="Q46" s="361">
        <v>23.869352920980948</v>
      </c>
      <c r="R46" s="361">
        <v>6.1323586699133354</v>
      </c>
      <c r="S46" s="361">
        <v>73.089954616547146</v>
      </c>
      <c r="T46" s="360">
        <v>5.6268596375048836E-2</v>
      </c>
      <c r="U46" s="360">
        <v>3.6021991736811053E-2</v>
      </c>
      <c r="V46" s="360">
        <v>3.1384969465088779E-2</v>
      </c>
      <c r="W46" s="360">
        <v>0.19934316355132445</v>
      </c>
      <c r="X46" s="360">
        <v>0.16796405774858486</v>
      </c>
      <c r="Y46" s="360">
        <v>0.65420208373717426</v>
      </c>
      <c r="Z46" s="360">
        <v>0.65420208373717426</v>
      </c>
      <c r="AA46" s="362">
        <v>0.15887069513763688</v>
      </c>
    </row>
    <row r="47" spans="1:27" s="320" customFormat="1">
      <c r="A47" s="359" t="s">
        <v>552</v>
      </c>
      <c r="B47" s="144">
        <v>244</v>
      </c>
      <c r="C47" s="360">
        <v>0.15574862595419844</v>
      </c>
      <c r="D47" s="360">
        <v>0.20182645524700482</v>
      </c>
      <c r="E47" s="360">
        <v>0.21092627951971957</v>
      </c>
      <c r="F47" s="360">
        <v>0.20715442478367135</v>
      </c>
      <c r="G47" s="361">
        <v>1.1413189391944609</v>
      </c>
      <c r="H47" s="361">
        <v>1.1784026677580446</v>
      </c>
      <c r="I47" s="360">
        <v>7.7175993662863374E-2</v>
      </c>
      <c r="J47" s="360">
        <v>0.38540743015457579</v>
      </c>
      <c r="K47" s="360">
        <v>3.5299999999999998E-2</v>
      </c>
      <c r="L47" s="360">
        <v>8.747410021429676E-2</v>
      </c>
      <c r="M47" s="360">
        <v>7.2706077318399148E-2</v>
      </c>
      <c r="N47" s="361">
        <v>1.2043786540585535</v>
      </c>
      <c r="O47" s="361">
        <v>9.6656712346595111</v>
      </c>
      <c r="P47" s="361">
        <v>32.310574467193682</v>
      </c>
      <c r="Q47" s="361">
        <v>46.248128219163583</v>
      </c>
      <c r="R47" s="361">
        <v>8.3242393102267478</v>
      </c>
      <c r="S47" s="361">
        <v>62.482860925292307</v>
      </c>
      <c r="T47" s="360">
        <v>4.4844786796844893E-2</v>
      </c>
      <c r="U47" s="360">
        <v>3.0687127151268905E-2</v>
      </c>
      <c r="V47" s="360">
        <v>3.4516262927303189E-3</v>
      </c>
      <c r="W47" s="360">
        <v>-3.5999337262954813E-3</v>
      </c>
      <c r="X47" s="360">
        <v>0.13120933947351837</v>
      </c>
      <c r="Y47" s="360">
        <v>0.34556208581467718</v>
      </c>
      <c r="Z47" s="360">
        <v>0.34556208581467718</v>
      </c>
      <c r="AA47" s="362">
        <v>0.20264065412192425</v>
      </c>
    </row>
    <row r="48" spans="1:27" s="320" customFormat="1">
      <c r="A48" s="359" t="s">
        <v>553</v>
      </c>
      <c r="B48" s="144">
        <v>220</v>
      </c>
      <c r="C48" s="360">
        <v>5.6345416666666648E-2</v>
      </c>
      <c r="D48" s="360">
        <v>8.441147836787613E-2</v>
      </c>
      <c r="E48" s="360">
        <v>0.10302496663851407</v>
      </c>
      <c r="F48" s="360">
        <v>0.23030529198316071</v>
      </c>
      <c r="G48" s="361">
        <v>0.66093915854310892</v>
      </c>
      <c r="H48" s="361">
        <v>0.75372239380937989</v>
      </c>
      <c r="I48" s="360">
        <v>5.2714409883420285E-2</v>
      </c>
      <c r="J48" s="360">
        <v>0.23272027545347965</v>
      </c>
      <c r="K48" s="360">
        <v>2.8699999999999996E-2</v>
      </c>
      <c r="L48" s="360">
        <v>0.32121645015750061</v>
      </c>
      <c r="M48" s="360">
        <v>4.2591684651210181E-2</v>
      </c>
      <c r="N48" s="361">
        <v>1.4495135759544471</v>
      </c>
      <c r="O48" s="361">
        <v>1.0440686718821062</v>
      </c>
      <c r="P48" s="361">
        <v>9.3343716451430119</v>
      </c>
      <c r="Q48" s="361">
        <v>12.245819694385553</v>
      </c>
      <c r="R48" s="361">
        <v>1.2333989119701083</v>
      </c>
      <c r="S48" s="361">
        <v>72.144695936919376</v>
      </c>
      <c r="T48" s="360">
        <v>-3.1416369311518942E-2</v>
      </c>
      <c r="U48" s="360">
        <v>7.0463417426349026E-3</v>
      </c>
      <c r="V48" s="360">
        <v>-3.7248858947373162E-3</v>
      </c>
      <c r="W48" s="360">
        <v>-0.15000429057772613</v>
      </c>
      <c r="X48" s="360">
        <v>7.1984881512415264E-2</v>
      </c>
      <c r="Y48" s="360">
        <v>0.46274490958796699</v>
      </c>
      <c r="Z48" s="360">
        <v>0.46274490958796699</v>
      </c>
      <c r="AA48" s="362">
        <v>8.4496021704342963E-2</v>
      </c>
    </row>
    <row r="49" spans="1:27" s="320" customFormat="1">
      <c r="A49" s="359" t="s">
        <v>554</v>
      </c>
      <c r="B49" s="144">
        <v>133</v>
      </c>
      <c r="C49" s="360">
        <v>9.3162830188679241E-2</v>
      </c>
      <c r="D49" s="360">
        <v>9.6785565381350372E-2</v>
      </c>
      <c r="E49" s="360">
        <v>0.10700627475871892</v>
      </c>
      <c r="F49" s="360">
        <v>0.16100783199377261</v>
      </c>
      <c r="G49" s="361">
        <v>0.96468929006716631</v>
      </c>
      <c r="H49" s="361">
        <v>1.0009130721259367</v>
      </c>
      <c r="I49" s="360">
        <v>6.6952592954453952E-2</v>
      </c>
      <c r="J49" s="360">
        <v>0.23853805321034321</v>
      </c>
      <c r="K49" s="360">
        <v>2.8699999999999996E-2</v>
      </c>
      <c r="L49" s="360">
        <v>0.49244507833009749</v>
      </c>
      <c r="M49" s="360">
        <v>4.4422293520296856E-2</v>
      </c>
      <c r="N49" s="361">
        <v>1.2996375403888412</v>
      </c>
      <c r="O49" s="361">
        <v>0.91068721551173171</v>
      </c>
      <c r="P49" s="361">
        <v>8.5936367201330484</v>
      </c>
      <c r="Q49" s="361">
        <v>9.210219926577075</v>
      </c>
      <c r="R49" s="361">
        <v>0.94989385415460947</v>
      </c>
      <c r="S49" s="361">
        <v>52.068852570755311</v>
      </c>
      <c r="T49" s="360">
        <v>-1.0439527494357963</v>
      </c>
      <c r="U49" s="360">
        <v>5.6241715500413535E-3</v>
      </c>
      <c r="V49" s="360">
        <v>4.3681583623900438E-3</v>
      </c>
      <c r="W49" s="360">
        <v>0.63241346460848269</v>
      </c>
      <c r="X49" s="360">
        <v>7.8911402880380691E-2</v>
      </c>
      <c r="Y49" s="360">
        <v>0.45641031110005009</v>
      </c>
      <c r="Z49" s="360">
        <v>0.45641031110005015</v>
      </c>
      <c r="AA49" s="362">
        <v>9.6793341328036742E-2</v>
      </c>
    </row>
    <row r="50" spans="1:27" s="320" customFormat="1">
      <c r="A50" s="359" t="s">
        <v>555</v>
      </c>
      <c r="B50" s="144">
        <v>229</v>
      </c>
      <c r="C50" s="360">
        <v>4.3124891304347816E-2</v>
      </c>
      <c r="D50" s="360">
        <v>8.3399011416030525E-2</v>
      </c>
      <c r="E50" s="360">
        <v>9.4468069148615608E-2</v>
      </c>
      <c r="F50" s="360">
        <v>0.19801392597572173</v>
      </c>
      <c r="G50" s="361">
        <v>0.65470385645511298</v>
      </c>
      <c r="H50" s="361">
        <v>0.7229195692595527</v>
      </c>
      <c r="I50" s="360">
        <v>5.0940167189350238E-2</v>
      </c>
      <c r="J50" s="360">
        <v>0.24512185999972827</v>
      </c>
      <c r="K50" s="360">
        <v>2.8699999999999996E-2</v>
      </c>
      <c r="L50" s="360">
        <v>0.24163976840889187</v>
      </c>
      <c r="M50" s="360">
        <v>4.3753926808714122E-2</v>
      </c>
      <c r="N50" s="361">
        <v>1.3343103920364989</v>
      </c>
      <c r="O50" s="361">
        <v>1.037640063894711</v>
      </c>
      <c r="P50" s="361">
        <v>9.5687077345568845</v>
      </c>
      <c r="Q50" s="361">
        <v>11.604261411844687</v>
      </c>
      <c r="R50" s="361">
        <v>1.2187240683339138</v>
      </c>
      <c r="S50" s="361">
        <v>26.18470472273216</v>
      </c>
      <c r="T50" s="360">
        <v>-0.39684602981822165</v>
      </c>
      <c r="U50" s="360">
        <v>8.6154135719984943E-3</v>
      </c>
      <c r="V50" s="360">
        <v>5.9281218853396032E-4</v>
      </c>
      <c r="W50" s="360">
        <v>0.13845036464541077</v>
      </c>
      <c r="X50" s="360">
        <v>7.4022997995806847E-2</v>
      </c>
      <c r="Y50" s="360">
        <v>0.46016618765259676</v>
      </c>
      <c r="Z50" s="360">
        <v>0.46016618765259676</v>
      </c>
      <c r="AA50" s="362">
        <v>8.3392733773037922E-2</v>
      </c>
    </row>
    <row r="51" spans="1:27" s="320" customFormat="1">
      <c r="A51" s="359" t="s">
        <v>556</v>
      </c>
      <c r="B51" s="144">
        <v>1234</v>
      </c>
      <c r="C51" s="360">
        <v>9.609849794238684E-2</v>
      </c>
      <c r="D51" s="360">
        <v>0.17100771031174963</v>
      </c>
      <c r="E51" s="360">
        <v>4.6153342880509034E-2</v>
      </c>
      <c r="F51" s="360">
        <v>0.21142347839020378</v>
      </c>
      <c r="G51" s="361">
        <v>0.54969271547253751</v>
      </c>
      <c r="H51" s="361">
        <v>0.78452433276530253</v>
      </c>
      <c r="I51" s="360">
        <v>5.4488601567281428E-2</v>
      </c>
      <c r="J51" s="360">
        <v>0.30369873311812645</v>
      </c>
      <c r="K51" s="360">
        <v>3.5299999999999998E-2</v>
      </c>
      <c r="L51" s="360">
        <v>0.44814580668275322</v>
      </c>
      <c r="M51" s="360">
        <v>4.1755662613995166E-2</v>
      </c>
      <c r="N51" s="361">
        <v>0.29173714122735234</v>
      </c>
      <c r="O51" s="361">
        <v>5.7898142366234637</v>
      </c>
      <c r="P51" s="361">
        <v>18.305430467923699</v>
      </c>
      <c r="Q51" s="361">
        <v>23.235396857603682</v>
      </c>
      <c r="R51" s="361">
        <v>1.5435732528554318</v>
      </c>
      <c r="S51" s="361">
        <v>198.87361597244291</v>
      </c>
      <c r="T51" s="360" t="s">
        <v>98</v>
      </c>
      <c r="U51" s="360">
        <v>2.4313308632169569E-2</v>
      </c>
      <c r="V51" s="360">
        <v>6.2238054460283111E-2</v>
      </c>
      <c r="W51" s="360">
        <v>0.57926887512721492</v>
      </c>
      <c r="X51" s="360">
        <v>7.2436925554621667E-2</v>
      </c>
      <c r="Y51" s="360">
        <v>0.67265334237736729</v>
      </c>
      <c r="Z51" s="360">
        <v>0.67265334237736729</v>
      </c>
      <c r="AA51" s="362">
        <v>0.17017513243890259</v>
      </c>
    </row>
    <row r="52" spans="1:27" s="320" customFormat="1">
      <c r="A52" s="359" t="s">
        <v>557</v>
      </c>
      <c r="B52" s="144">
        <v>1385</v>
      </c>
      <c r="C52" s="360">
        <v>3.5749179030662728E-2</v>
      </c>
      <c r="D52" s="360">
        <v>7.8180338569023941E-2</v>
      </c>
      <c r="E52" s="360">
        <v>9.5479385605646602E-2</v>
      </c>
      <c r="F52" s="360">
        <v>0.23825619324132302</v>
      </c>
      <c r="G52" s="361">
        <v>1.0733563446039929</v>
      </c>
      <c r="H52" s="361">
        <v>1.1119310657993697</v>
      </c>
      <c r="I52" s="360">
        <v>7.3347229390043692E-2</v>
      </c>
      <c r="J52" s="360">
        <v>0.27337225140930221</v>
      </c>
      <c r="K52" s="360">
        <v>3.5299999999999998E-2</v>
      </c>
      <c r="L52" s="360">
        <v>0.14536554264149013</v>
      </c>
      <c r="M52" s="360">
        <v>6.6475637468639326E-2</v>
      </c>
      <c r="N52" s="361">
        <v>1.4056883069110573</v>
      </c>
      <c r="O52" s="361">
        <v>2.2171526556283028</v>
      </c>
      <c r="P52" s="361">
        <v>17.093035579406454</v>
      </c>
      <c r="Q52" s="361">
        <v>27.397780040120018</v>
      </c>
      <c r="R52" s="361">
        <v>3.0545598996326211</v>
      </c>
      <c r="S52" s="361">
        <v>87.497487998420524</v>
      </c>
      <c r="T52" s="360">
        <v>0.2630743779833235</v>
      </c>
      <c r="U52" s="360">
        <v>4.2522639050687386E-2</v>
      </c>
      <c r="V52" s="360">
        <v>3.4695606907674835E-2</v>
      </c>
      <c r="W52" s="360">
        <v>0.48139571916221713</v>
      </c>
      <c r="X52" s="360">
        <v>7.474191627607292E-2</v>
      </c>
      <c r="Y52" s="360">
        <v>0.56224323710859969</v>
      </c>
      <c r="Z52" s="360">
        <v>0.56224323710859969</v>
      </c>
      <c r="AA52" s="362">
        <v>8.0082959671066004E-2</v>
      </c>
    </row>
    <row r="53" spans="1:27" s="320" customFormat="1">
      <c r="A53" s="359" t="s">
        <v>558</v>
      </c>
      <c r="B53" s="144">
        <v>1620</v>
      </c>
      <c r="C53" s="360">
        <v>0.15564490683229823</v>
      </c>
      <c r="D53" s="360">
        <v>8.0992182236577934E-2</v>
      </c>
      <c r="E53" s="360">
        <v>8.6514206730186699E-2</v>
      </c>
      <c r="F53" s="360">
        <v>0.31304620302109959</v>
      </c>
      <c r="G53" s="361">
        <v>0.8290093911238976</v>
      </c>
      <c r="H53" s="361">
        <v>0.96823348374454843</v>
      </c>
      <c r="I53" s="360">
        <v>6.5070248663685992E-2</v>
      </c>
      <c r="J53" s="360">
        <v>0.53804521526590554</v>
      </c>
      <c r="K53" s="360">
        <v>3.9480000000000001E-2</v>
      </c>
      <c r="L53" s="360">
        <v>0.26725459757004338</v>
      </c>
      <c r="M53" s="360">
        <v>5.5474105487252588E-2</v>
      </c>
      <c r="N53" s="361">
        <v>1.1012033100705725</v>
      </c>
      <c r="O53" s="361">
        <v>1.6387589778053513</v>
      </c>
      <c r="P53" s="361">
        <v>10.199381830776048</v>
      </c>
      <c r="Q53" s="361">
        <v>19.251610285711003</v>
      </c>
      <c r="R53" s="361">
        <v>1.9822301557157571</v>
      </c>
      <c r="S53" s="361">
        <v>175.10449874559089</v>
      </c>
      <c r="T53" s="360">
        <v>0.10385805243346732</v>
      </c>
      <c r="U53" s="360">
        <v>8.0528904951986599E-2</v>
      </c>
      <c r="V53" s="360">
        <v>4.1149561665671658E-2</v>
      </c>
      <c r="W53" s="360">
        <v>0.88514430115476506</v>
      </c>
      <c r="X53" s="360">
        <v>3.6135737608428663E-2</v>
      </c>
      <c r="Y53" s="360">
        <v>1.7998077354931796</v>
      </c>
      <c r="Z53" s="360">
        <v>1.7998077354931796</v>
      </c>
      <c r="AA53" s="362">
        <v>8.1576232200817847E-2</v>
      </c>
    </row>
    <row r="54" spans="1:27" s="320" customFormat="1">
      <c r="A54" s="359" t="s">
        <v>559</v>
      </c>
      <c r="B54" s="144">
        <v>148</v>
      </c>
      <c r="C54" s="360">
        <v>3.1730810810810819E-2</v>
      </c>
      <c r="D54" s="360">
        <v>6.6814985300289315E-2</v>
      </c>
      <c r="E54" s="360">
        <v>0.10686849438181199</v>
      </c>
      <c r="F54" s="360">
        <v>0.26234836286704438</v>
      </c>
      <c r="G54" s="361">
        <v>1.0064044083473549</v>
      </c>
      <c r="H54" s="361">
        <v>1.04061227843863</v>
      </c>
      <c r="I54" s="360">
        <v>6.9239267238065089E-2</v>
      </c>
      <c r="J54" s="360">
        <v>0.29314847705072661</v>
      </c>
      <c r="K54" s="360">
        <v>3.5299999999999998E-2</v>
      </c>
      <c r="L54" s="360">
        <v>0.2016683934441601</v>
      </c>
      <c r="M54" s="360">
        <v>6.0534622661886826E-2</v>
      </c>
      <c r="N54" s="361">
        <v>1.9088819783660118</v>
      </c>
      <c r="O54" s="361">
        <v>1.1585597192863999</v>
      </c>
      <c r="P54" s="361">
        <v>10.517703746078713</v>
      </c>
      <c r="Q54" s="361">
        <v>16.80864058668698</v>
      </c>
      <c r="R54" s="361">
        <v>2.1382695836214745</v>
      </c>
      <c r="S54" s="361">
        <v>35.760737920816169</v>
      </c>
      <c r="T54" s="360">
        <v>0.12522881738234767</v>
      </c>
      <c r="U54" s="360">
        <v>2.3060109361668309E-2</v>
      </c>
      <c r="V54" s="360">
        <v>3.5955351939908277E-3</v>
      </c>
      <c r="W54" s="360">
        <v>1.6498430217184879E-2</v>
      </c>
      <c r="X54" s="360">
        <v>6.8717447481057278E-2</v>
      </c>
      <c r="Y54" s="360">
        <v>0.58258750489263911</v>
      </c>
      <c r="Z54" s="360">
        <v>0.58258750489263911</v>
      </c>
      <c r="AA54" s="362">
        <v>6.6611319603357422E-2</v>
      </c>
    </row>
    <row r="55" spans="1:27" s="320" customFormat="1">
      <c r="A55" s="359" t="s">
        <v>560</v>
      </c>
      <c r="B55" s="144">
        <v>49</v>
      </c>
      <c r="C55" s="360">
        <v>7.3514634146341473E-3</v>
      </c>
      <c r="D55" s="360">
        <v>6.2525566899500992E-2</v>
      </c>
      <c r="E55" s="360">
        <v>4.5900533502141648E-2</v>
      </c>
      <c r="F55" s="360">
        <v>0.45136529445157941</v>
      </c>
      <c r="G55" s="361">
        <v>1.0784866590681668</v>
      </c>
      <c r="H55" s="361">
        <v>1.2711173449593738</v>
      </c>
      <c r="I55" s="360">
        <v>8.2516359069659928E-2</v>
      </c>
      <c r="J55" s="360">
        <v>0.24704063022857292</v>
      </c>
      <c r="K55" s="360">
        <v>2.8699999999999996E-2</v>
      </c>
      <c r="L55" s="360">
        <v>0.25969226092636288</v>
      </c>
      <c r="M55" s="360">
        <v>6.6593154338747282E-2</v>
      </c>
      <c r="N55" s="361">
        <v>0.85383699775655109</v>
      </c>
      <c r="O55" s="361">
        <v>1.660873383545431</v>
      </c>
      <c r="P55" s="361">
        <v>9.6460503142240874</v>
      </c>
      <c r="Q55" s="361">
        <v>26.37762169078243</v>
      </c>
      <c r="R55" s="361">
        <v>1.5892205099596308</v>
      </c>
      <c r="S55" s="361">
        <v>45.520538800951364</v>
      </c>
      <c r="T55" s="360">
        <v>1.8761302267566119E-2</v>
      </c>
      <c r="U55" s="360">
        <v>0.11179618510887376</v>
      </c>
      <c r="V55" s="360">
        <v>3.423742949072911E-3</v>
      </c>
      <c r="W55" s="360">
        <v>-0.17524038955800547</v>
      </c>
      <c r="X55" s="360">
        <v>-1.428484689581434E-2</v>
      </c>
      <c r="Y55" s="360">
        <v>1.4475627028430147E-2</v>
      </c>
      <c r="Z55" s="360">
        <v>1.4475627028430194E-2</v>
      </c>
      <c r="AA55" s="362">
        <v>6.2953329499191454E-2</v>
      </c>
    </row>
    <row r="56" spans="1:27" s="320" customFormat="1">
      <c r="A56" s="359" t="s">
        <v>561</v>
      </c>
      <c r="B56" s="144">
        <v>765</v>
      </c>
      <c r="C56" s="360">
        <v>6.6731298342541392E-2</v>
      </c>
      <c r="D56" s="360">
        <v>-7.4979510564880739E-2</v>
      </c>
      <c r="E56" s="360">
        <v>-2.1942125991481487E-2</v>
      </c>
      <c r="F56" s="360">
        <v>0.4103022773236194</v>
      </c>
      <c r="G56" s="361">
        <v>0.93115697258918551</v>
      </c>
      <c r="H56" s="361">
        <v>1.3120327885317891</v>
      </c>
      <c r="I56" s="360">
        <v>8.4873088619431047E-2</v>
      </c>
      <c r="J56" s="360">
        <v>0.50711432366281006</v>
      </c>
      <c r="K56" s="360">
        <v>3.9480000000000001E-2</v>
      </c>
      <c r="L56" s="360">
        <v>0.40389839932705973</v>
      </c>
      <c r="M56" s="360">
        <v>6.2372226814672013E-2</v>
      </c>
      <c r="N56" s="361">
        <v>0.31875987970857345</v>
      </c>
      <c r="O56" s="361">
        <v>2.7822729517139697</v>
      </c>
      <c r="P56" s="361">
        <v>6.1077181474492503</v>
      </c>
      <c r="Q56" s="361" t="s">
        <v>98</v>
      </c>
      <c r="R56" s="361">
        <v>1.048950330651544</v>
      </c>
      <c r="S56" s="361">
        <v>52.885257417390406</v>
      </c>
      <c r="T56" s="360">
        <v>-5.0903664172287355E-4</v>
      </c>
      <c r="U56" s="360">
        <v>0.32259348171698482</v>
      </c>
      <c r="V56" s="360">
        <v>-0.13779802077244871</v>
      </c>
      <c r="W56" s="360" t="s">
        <v>98</v>
      </c>
      <c r="X56" s="360">
        <v>-0.21044027879950497</v>
      </c>
      <c r="Y56" s="360">
        <v>8.3329410875181177E-3</v>
      </c>
      <c r="Z56" s="360">
        <v>8.332941087518142E-3</v>
      </c>
      <c r="AA56" s="362">
        <v>-7.1167280767459359E-2</v>
      </c>
    </row>
    <row r="57" spans="1:27" s="320" customFormat="1">
      <c r="A57" s="359" t="s">
        <v>562</v>
      </c>
      <c r="B57" s="144">
        <v>204</v>
      </c>
      <c r="C57" s="360">
        <v>9.6823618421052624E-2</v>
      </c>
      <c r="D57" s="360">
        <v>0.16791450682916975</v>
      </c>
      <c r="E57" s="360">
        <v>8.0683033102243826E-2</v>
      </c>
      <c r="F57" s="360">
        <v>0.10935148833870346</v>
      </c>
      <c r="G57" s="361">
        <v>0.64604133994797708</v>
      </c>
      <c r="H57" s="361">
        <v>1.1410741205323776</v>
      </c>
      <c r="I57" s="360">
        <v>7.5025869342664947E-2</v>
      </c>
      <c r="J57" s="360">
        <v>0.3131478445564459</v>
      </c>
      <c r="K57" s="360">
        <v>3.5299999999999998E-2</v>
      </c>
      <c r="L57" s="360">
        <v>0.52408437433667587</v>
      </c>
      <c r="M57" s="360">
        <v>4.9372065343633531E-2</v>
      </c>
      <c r="N57" s="361">
        <v>0.53513766114198602</v>
      </c>
      <c r="O57" s="361">
        <v>2.3767141676513144</v>
      </c>
      <c r="P57" s="361">
        <v>9.2204824038572912</v>
      </c>
      <c r="Q57" s="361">
        <v>14.139492936348553</v>
      </c>
      <c r="R57" s="361">
        <v>1.1875477581713811</v>
      </c>
      <c r="S57" s="361">
        <v>26.720608206799174</v>
      </c>
      <c r="T57" s="360">
        <v>4.7508952175189481E-2</v>
      </c>
      <c r="U57" s="360">
        <v>0.13592485325255829</v>
      </c>
      <c r="V57" s="360">
        <v>5.7755513580702848E-2</v>
      </c>
      <c r="W57" s="360">
        <v>0.42130021006085205</v>
      </c>
      <c r="X57" s="360">
        <v>5.2450035098246979E-2</v>
      </c>
      <c r="Y57" s="360">
        <v>2.0187121806587864</v>
      </c>
      <c r="Z57" s="360">
        <v>2.0187121806587864</v>
      </c>
      <c r="AA57" s="362">
        <v>0.16756757531796393</v>
      </c>
    </row>
    <row r="58" spans="1:27" s="320" customFormat="1">
      <c r="A58" s="359" t="s">
        <v>563</v>
      </c>
      <c r="B58" s="144">
        <v>513</v>
      </c>
      <c r="C58" s="360">
        <v>-2.2513019943019998E-2</v>
      </c>
      <c r="D58" s="360">
        <v>1.2732821776313276E-2</v>
      </c>
      <c r="E58" s="360">
        <v>2.1184430469070606E-2</v>
      </c>
      <c r="F58" s="360">
        <v>0.14755967720934979</v>
      </c>
      <c r="G58" s="361">
        <v>0.9101608921339075</v>
      </c>
      <c r="H58" s="361">
        <v>1.2272852849455207</v>
      </c>
      <c r="I58" s="360">
        <v>7.9991632412861988E-2</v>
      </c>
      <c r="J58" s="360">
        <v>0.37623190538611695</v>
      </c>
      <c r="K58" s="360">
        <v>3.5299999999999998E-2</v>
      </c>
      <c r="L58" s="360">
        <v>0.38264705229440676</v>
      </c>
      <c r="M58" s="360">
        <v>5.936101668866732E-2</v>
      </c>
      <c r="N58" s="361">
        <v>1.6461650636765661</v>
      </c>
      <c r="O58" s="361">
        <v>0.84627253942712244</v>
      </c>
      <c r="P58" s="361">
        <v>12.814444848422259</v>
      </c>
      <c r="Q58" s="361">
        <v>54.871710295453582</v>
      </c>
      <c r="R58" s="361">
        <v>1.4077579768604562</v>
      </c>
      <c r="S58" s="361">
        <v>35.051665639752855</v>
      </c>
      <c r="T58" s="360">
        <v>6.959284734924201E-2</v>
      </c>
      <c r="U58" s="360">
        <v>4.9458459419800815E-2</v>
      </c>
      <c r="V58" s="360">
        <v>1.8528251981884691E-2</v>
      </c>
      <c r="W58" s="360">
        <v>0.90284467897138365</v>
      </c>
      <c r="X58" s="360">
        <v>-0.12478769836405747</v>
      </c>
      <c r="Y58" s="360">
        <v>5.2977500063214923E-3</v>
      </c>
      <c r="Z58" s="360">
        <v>5.2977500063214888E-3</v>
      </c>
      <c r="AA58" s="362">
        <v>1.3848175464534504E-2</v>
      </c>
    </row>
    <row r="59" spans="1:27" s="320" customFormat="1">
      <c r="A59" s="359" t="s">
        <v>564</v>
      </c>
      <c r="B59" s="144">
        <v>412</v>
      </c>
      <c r="C59" s="360">
        <v>2.8063993610223648E-2</v>
      </c>
      <c r="D59" s="360">
        <v>8.8048012219104729E-2</v>
      </c>
      <c r="E59" s="360">
        <v>0.10178597731007138</v>
      </c>
      <c r="F59" s="360">
        <v>0.23864860403676158</v>
      </c>
      <c r="G59" s="361">
        <v>0.70719198930449789</v>
      </c>
      <c r="H59" s="361">
        <v>0.8828357360378839</v>
      </c>
      <c r="I59" s="360">
        <v>6.0151338395782114E-2</v>
      </c>
      <c r="J59" s="360">
        <v>0.28677696050431523</v>
      </c>
      <c r="K59" s="360">
        <v>3.5299999999999998E-2</v>
      </c>
      <c r="L59" s="360">
        <v>0.30395202333456411</v>
      </c>
      <c r="M59" s="360">
        <v>4.9794103779296744E-2</v>
      </c>
      <c r="N59" s="361">
        <v>1.3541364004470926</v>
      </c>
      <c r="O59" s="361">
        <v>1.6641896493621446</v>
      </c>
      <c r="P59" s="361">
        <v>10.826582116570467</v>
      </c>
      <c r="Q59" s="361">
        <v>18.627664835468295</v>
      </c>
      <c r="R59" s="361">
        <v>2.722140474835705</v>
      </c>
      <c r="S59" s="361">
        <v>35.86775850819938</v>
      </c>
      <c r="T59" s="360">
        <v>0.11429810826297121</v>
      </c>
      <c r="U59" s="360">
        <v>6.0439370020789689E-2</v>
      </c>
      <c r="V59" s="360">
        <v>2.3958676051341471E-2</v>
      </c>
      <c r="W59" s="360">
        <v>0.28169823761335094</v>
      </c>
      <c r="X59" s="360">
        <v>0.10064848137749706</v>
      </c>
      <c r="Y59" s="360">
        <v>0.53275490182221286</v>
      </c>
      <c r="Z59" s="360">
        <v>0.53275490182221286</v>
      </c>
      <c r="AA59" s="362">
        <v>8.9252677084138018E-2</v>
      </c>
    </row>
    <row r="60" spans="1:27" s="320" customFormat="1">
      <c r="A60" s="359" t="s">
        <v>565</v>
      </c>
      <c r="B60" s="144">
        <v>287</v>
      </c>
      <c r="C60" s="360">
        <v>3.252789473684211E-2</v>
      </c>
      <c r="D60" s="360">
        <v>7.0262707836589125E-2</v>
      </c>
      <c r="E60" s="360">
        <v>5.3840932669191717E-2</v>
      </c>
      <c r="F60" s="360">
        <v>0.22556317729487382</v>
      </c>
      <c r="G60" s="361">
        <v>0.78438278848567</v>
      </c>
      <c r="H60" s="361">
        <v>1.0127509460670638</v>
      </c>
      <c r="I60" s="360">
        <v>6.7634454493462878E-2</v>
      </c>
      <c r="J60" s="360">
        <v>0.29438528762743532</v>
      </c>
      <c r="K60" s="360">
        <v>3.5299999999999998E-2</v>
      </c>
      <c r="L60" s="360">
        <v>0.35151237239572319</v>
      </c>
      <c r="M60" s="360">
        <v>5.3026182227726995E-2</v>
      </c>
      <c r="N60" s="361">
        <v>0.87045594260760117</v>
      </c>
      <c r="O60" s="361">
        <v>1.5672227102312852</v>
      </c>
      <c r="P60" s="361">
        <v>10.991859737512723</v>
      </c>
      <c r="Q60" s="361">
        <v>21.675130000386094</v>
      </c>
      <c r="R60" s="361">
        <v>1.4651092432023394</v>
      </c>
      <c r="S60" s="361">
        <v>159.36105337962837</v>
      </c>
      <c r="T60" s="360">
        <v>0.18689597808612965</v>
      </c>
      <c r="U60" s="360">
        <v>7.3561339134646117E-2</v>
      </c>
      <c r="V60" s="360">
        <v>2.6641147244268252E-2</v>
      </c>
      <c r="W60" s="360">
        <v>0.17012378409593912</v>
      </c>
      <c r="X60" s="360">
        <v>4.9568531155455606E-2</v>
      </c>
      <c r="Y60" s="360">
        <v>0.59657080236245486</v>
      </c>
      <c r="Z60" s="360">
        <v>0.59657080236245486</v>
      </c>
      <c r="AA60" s="362">
        <v>7.066603412132974E-2</v>
      </c>
    </row>
    <row r="61" spans="1:27" s="320" customFormat="1">
      <c r="A61" s="359" t="s">
        <v>566</v>
      </c>
      <c r="B61" s="144">
        <v>553</v>
      </c>
      <c r="C61" s="360">
        <v>6.4163612334801792E-2</v>
      </c>
      <c r="D61" s="360">
        <v>0.13383292253248166</v>
      </c>
      <c r="E61" s="360">
        <v>6.1485115462231968E-2</v>
      </c>
      <c r="F61" s="360">
        <v>0.1969090398801272</v>
      </c>
      <c r="G61" s="361">
        <v>0.51004822811349038</v>
      </c>
      <c r="H61" s="361">
        <v>0.8230453544536388</v>
      </c>
      <c r="I61" s="360">
        <v>5.6707412416529587E-2</v>
      </c>
      <c r="J61" s="360">
        <v>0.22412670216926131</v>
      </c>
      <c r="K61" s="360">
        <v>2.8699999999999996E-2</v>
      </c>
      <c r="L61" s="360">
        <v>0.48350857003198039</v>
      </c>
      <c r="M61" s="360">
        <v>3.9539607834390908E-2</v>
      </c>
      <c r="N61" s="361">
        <v>0.55448378742715332</v>
      </c>
      <c r="O61" s="361">
        <v>2.4391340190746416</v>
      </c>
      <c r="P61" s="361">
        <v>10.024515704542777</v>
      </c>
      <c r="Q61" s="361">
        <v>18.186634474714506</v>
      </c>
      <c r="R61" s="361">
        <v>1.3490838922280772</v>
      </c>
      <c r="S61" s="361">
        <v>25.262992128402374</v>
      </c>
      <c r="T61" s="360">
        <v>2.1055139607578925E-2</v>
      </c>
      <c r="U61" s="360">
        <v>0.17478004662950275</v>
      </c>
      <c r="V61" s="360">
        <v>8.6341670698698539E-2</v>
      </c>
      <c r="W61" s="360">
        <v>0.85247510099530188</v>
      </c>
      <c r="X61" s="360">
        <v>7.3133508127805461E-2</v>
      </c>
      <c r="Y61" s="360">
        <v>0.81591272193740338</v>
      </c>
      <c r="Z61" s="360">
        <v>0.81591272193740338</v>
      </c>
      <c r="AA61" s="362">
        <v>0.13381221841430968</v>
      </c>
    </row>
    <row r="62" spans="1:27" s="320" customFormat="1">
      <c r="A62" s="359" t="s">
        <v>567</v>
      </c>
      <c r="B62" s="144">
        <v>922</v>
      </c>
      <c r="C62" s="360">
        <v>0.35804587677725125</v>
      </c>
      <c r="D62" s="360">
        <v>0.19254638587743905</v>
      </c>
      <c r="E62" s="360">
        <v>0.14340915346960495</v>
      </c>
      <c r="F62" s="360">
        <v>0.27749406351450828</v>
      </c>
      <c r="G62" s="361">
        <v>0.86680602242063554</v>
      </c>
      <c r="H62" s="361">
        <v>0.89419497391336067</v>
      </c>
      <c r="I62" s="360">
        <v>6.0805630497409571E-2</v>
      </c>
      <c r="J62" s="360">
        <v>0.54779373659813713</v>
      </c>
      <c r="K62" s="360">
        <v>3.9480000000000001E-2</v>
      </c>
      <c r="L62" s="360">
        <v>0.12607061524508933</v>
      </c>
      <c r="M62" s="360">
        <v>5.6816535040487073E-2</v>
      </c>
      <c r="N62" s="361">
        <v>0.77356024872266615</v>
      </c>
      <c r="O62" s="361">
        <v>3.5171915685372932</v>
      </c>
      <c r="P62" s="361">
        <v>9.8262346404961889</v>
      </c>
      <c r="Q62" s="361">
        <v>16.60011252595551</v>
      </c>
      <c r="R62" s="361">
        <v>2.5262624612889852</v>
      </c>
      <c r="S62" s="361">
        <v>63.028731614140717</v>
      </c>
      <c r="T62" s="360">
        <v>0.12729470722605929</v>
      </c>
      <c r="U62" s="360">
        <v>0.13901228111964897</v>
      </c>
      <c r="V62" s="360">
        <v>8.1871566618368558E-2</v>
      </c>
      <c r="W62" s="360">
        <v>0.78162912648764704</v>
      </c>
      <c r="X62" s="360">
        <v>7.8569825148200795E-2</v>
      </c>
      <c r="Y62" s="360">
        <v>0.45147786660172823</v>
      </c>
      <c r="Z62" s="360">
        <v>0.45147786660172828</v>
      </c>
      <c r="AA62" s="362">
        <v>0.19299429386955849</v>
      </c>
    </row>
    <row r="63" spans="1:27" s="320" customFormat="1">
      <c r="A63" s="359" t="s">
        <v>655</v>
      </c>
      <c r="B63" s="144">
        <v>349</v>
      </c>
      <c r="C63" s="360">
        <v>-2.8980303030302934E-3</v>
      </c>
      <c r="D63" s="360">
        <v>5.3110933607089031E-2</v>
      </c>
      <c r="E63" s="360">
        <v>6.7448038963700607E-2</v>
      </c>
      <c r="F63" s="360">
        <v>0.17117068641900787</v>
      </c>
      <c r="G63" s="361">
        <v>0.8413789216293962</v>
      </c>
      <c r="H63" s="361">
        <v>0.89210157578794425</v>
      </c>
      <c r="I63" s="360">
        <v>6.0685050765385593E-2</v>
      </c>
      <c r="J63" s="360">
        <v>0.29133936354608264</v>
      </c>
      <c r="K63" s="360">
        <v>3.5299999999999998E-2</v>
      </c>
      <c r="L63" s="360">
        <v>0.26366196503726563</v>
      </c>
      <c r="M63" s="360">
        <v>5.15599894353257E-2</v>
      </c>
      <c r="N63" s="361">
        <v>1.4459996435778888</v>
      </c>
      <c r="O63" s="361">
        <v>1.1956138883047711</v>
      </c>
      <c r="P63" s="361">
        <v>11.159749707403003</v>
      </c>
      <c r="Q63" s="361">
        <v>21.710068056077088</v>
      </c>
      <c r="R63" s="361">
        <v>1.4320864259085992</v>
      </c>
      <c r="S63" s="361">
        <v>42.536716207015743</v>
      </c>
      <c r="T63" s="360">
        <v>0.13099245685414607</v>
      </c>
      <c r="U63" s="360">
        <v>3.202400619258669E-2</v>
      </c>
      <c r="V63" s="360">
        <v>1.4607083829178549E-2</v>
      </c>
      <c r="W63" s="360">
        <v>0.40752142866249491</v>
      </c>
      <c r="X63" s="360">
        <v>-7.5617011141083084E-3</v>
      </c>
      <c r="Y63" s="360">
        <v>5.3517990226082347E-3</v>
      </c>
      <c r="Z63" s="360">
        <v>5.3517990226081835E-3</v>
      </c>
      <c r="AA63" s="362">
        <v>5.2920243497923541E-2</v>
      </c>
    </row>
    <row r="64" spans="1:27" s="320" customFormat="1">
      <c r="A64" s="359" t="s">
        <v>568</v>
      </c>
      <c r="B64" s="144">
        <v>799</v>
      </c>
      <c r="C64" s="360">
        <v>8.6019981981981936E-2</v>
      </c>
      <c r="D64" s="360">
        <v>0.33192199924165777</v>
      </c>
      <c r="E64" s="360">
        <v>2.8770244081453056E-2</v>
      </c>
      <c r="F64" s="360">
        <v>3.281903238390018E-2</v>
      </c>
      <c r="G64" s="361">
        <v>0.65765547175407968</v>
      </c>
      <c r="H64" s="361">
        <v>0.97308146980669319</v>
      </c>
      <c r="I64" s="360">
        <v>6.5349492660865524E-2</v>
      </c>
      <c r="J64" s="360">
        <v>0.23991832658607432</v>
      </c>
      <c r="K64" s="360">
        <v>2.8699999999999996E-2</v>
      </c>
      <c r="L64" s="360">
        <v>0.41473145740192324</v>
      </c>
      <c r="M64" s="360">
        <v>4.703959539077486E-2</v>
      </c>
      <c r="N64" s="361">
        <v>9.712516379373877E-2</v>
      </c>
      <c r="O64" s="361">
        <v>13.479584121122995</v>
      </c>
      <c r="P64" s="361">
        <v>23.079362984011247</v>
      </c>
      <c r="Q64" s="361">
        <v>38.374803062308551</v>
      </c>
      <c r="R64" s="361">
        <v>1.6184680498795514</v>
      </c>
      <c r="S64" s="361">
        <v>44.446789438883251</v>
      </c>
      <c r="T64" s="360">
        <v>0.63302539385731937</v>
      </c>
      <c r="U64" s="360">
        <v>5.3967155958592299E-2</v>
      </c>
      <c r="V64" s="360">
        <v>-1.4477526167262103E-2</v>
      </c>
      <c r="W64" s="360">
        <v>-9.996460952430954E-3</v>
      </c>
      <c r="X64" s="360">
        <v>7.9575067859630026E-3</v>
      </c>
      <c r="Y64" s="360">
        <v>8.2336380117081376</v>
      </c>
      <c r="Z64" s="360">
        <v>8.2336380117081376</v>
      </c>
      <c r="AA64" s="362">
        <v>0.30349073620407813</v>
      </c>
    </row>
    <row r="65" spans="1:27" s="320" customFormat="1">
      <c r="A65" s="359" t="s">
        <v>569</v>
      </c>
      <c r="B65" s="144">
        <v>890</v>
      </c>
      <c r="C65" s="360">
        <v>6.8880126984126974E-2</v>
      </c>
      <c r="D65" s="360">
        <v>0.17309142985975756</v>
      </c>
      <c r="E65" s="360">
        <v>8.2840318131915391E-2</v>
      </c>
      <c r="F65" s="360">
        <v>0.35866183116359035</v>
      </c>
      <c r="G65" s="361">
        <v>0.52297738637044211</v>
      </c>
      <c r="H65" s="361">
        <v>0.94385991476418518</v>
      </c>
      <c r="I65" s="360">
        <v>6.3666331090417069E-2</v>
      </c>
      <c r="J65" s="360">
        <v>0.26438414331101134</v>
      </c>
      <c r="K65" s="360">
        <v>3.5299999999999998E-2</v>
      </c>
      <c r="L65" s="360">
        <v>0.63749769715496851</v>
      </c>
      <c r="M65" s="360">
        <v>3.9702651709730058E-2</v>
      </c>
      <c r="N65" s="361">
        <v>0.57103057091977594</v>
      </c>
      <c r="O65" s="361">
        <v>1.8547413109907804</v>
      </c>
      <c r="P65" s="361">
        <v>9.4836784228265252</v>
      </c>
      <c r="Q65" s="361">
        <v>10.169019132006383</v>
      </c>
      <c r="R65" s="361">
        <v>0.68027997169056365</v>
      </c>
      <c r="S65" s="361">
        <v>62.626584249254201</v>
      </c>
      <c r="T65" s="360">
        <v>1.9282397527828392</v>
      </c>
      <c r="U65" s="360">
        <v>3.0484546501111057E-2</v>
      </c>
      <c r="V65" s="360">
        <v>3.4722096325413634E-2</v>
      </c>
      <c r="W65" s="360">
        <v>1.0371731971148419</v>
      </c>
      <c r="X65" s="360">
        <v>0.10436126084927606</v>
      </c>
      <c r="Y65" s="360">
        <v>0.69212862892827143</v>
      </c>
      <c r="Z65" s="360">
        <v>0.69212862892827143</v>
      </c>
      <c r="AA65" s="362">
        <v>0.17305495372407725</v>
      </c>
    </row>
    <row r="66" spans="1:27" s="320" customFormat="1">
      <c r="A66" s="359" t="s">
        <v>570</v>
      </c>
      <c r="B66" s="144">
        <v>364</v>
      </c>
      <c r="C66" s="360">
        <v>5.4101213114754083E-2</v>
      </c>
      <c r="D66" s="360">
        <v>0.16292815008764083</v>
      </c>
      <c r="E66" s="360">
        <v>3.8877756570155166E-2</v>
      </c>
      <c r="F66" s="360">
        <v>0.31953806046087424</v>
      </c>
      <c r="G66" s="361">
        <v>0.59744954199837219</v>
      </c>
      <c r="H66" s="361">
        <v>0.9921666342329557</v>
      </c>
      <c r="I66" s="360">
        <v>6.644879813181824E-2</v>
      </c>
      <c r="J66" s="360">
        <v>0.2440071950568731</v>
      </c>
      <c r="K66" s="360">
        <v>2.8699999999999996E-2</v>
      </c>
      <c r="L66" s="360">
        <v>0.53088864410692305</v>
      </c>
      <c r="M66" s="360">
        <v>4.2427091357313818E-2</v>
      </c>
      <c r="N66" s="361">
        <v>0.28406043605540698</v>
      </c>
      <c r="O66" s="361">
        <v>3.348591030148532</v>
      </c>
      <c r="P66" s="361">
        <v>13.556066545288195</v>
      </c>
      <c r="Q66" s="361">
        <v>19.503974009957378</v>
      </c>
      <c r="R66" s="361">
        <v>0.73474768403642565</v>
      </c>
      <c r="S66" s="361">
        <v>99.044684881742228</v>
      </c>
      <c r="T66" s="360">
        <v>0.98915897173713607</v>
      </c>
      <c r="U66" s="360">
        <v>0.10068085437466272</v>
      </c>
      <c r="V66" s="360">
        <v>8.8663781195840133E-2</v>
      </c>
      <c r="W66" s="360">
        <v>1.365704367203274</v>
      </c>
      <c r="X66" s="360">
        <v>3.9049595073957596E-2</v>
      </c>
      <c r="Y66" s="360">
        <v>0.83986435083008759</v>
      </c>
      <c r="Z66" s="360">
        <v>0.83986435083008759</v>
      </c>
      <c r="AA66" s="362">
        <v>0.16139319735676311</v>
      </c>
    </row>
    <row r="67" spans="1:27" s="320" customFormat="1">
      <c r="A67" s="359" t="s">
        <v>571</v>
      </c>
      <c r="B67" s="144">
        <v>720</v>
      </c>
      <c r="C67" s="360">
        <v>8.0427136659436071E-2</v>
      </c>
      <c r="D67" s="360">
        <v>0.23224845502814612</v>
      </c>
      <c r="E67" s="360">
        <v>4.6013002742450404E-2</v>
      </c>
      <c r="F67" s="360">
        <v>0.23848763936015505</v>
      </c>
      <c r="G67" s="361">
        <v>0.53490595579285283</v>
      </c>
      <c r="H67" s="361">
        <v>0.81223671213622317</v>
      </c>
      <c r="I67" s="360">
        <v>5.6084834619046453E-2</v>
      </c>
      <c r="J67" s="360">
        <v>0.2502594665830582</v>
      </c>
      <c r="K67" s="360">
        <v>3.5299999999999998E-2</v>
      </c>
      <c r="L67" s="360">
        <v>0.45056320018051071</v>
      </c>
      <c r="M67" s="360">
        <v>4.2564007621353206E-2</v>
      </c>
      <c r="N67" s="361">
        <v>0.22343757031692119</v>
      </c>
      <c r="O67" s="361">
        <v>6.459546711372596</v>
      </c>
      <c r="P67" s="361">
        <v>20.781192619274044</v>
      </c>
      <c r="Q67" s="361">
        <v>24.12613150820831</v>
      </c>
      <c r="R67" s="361">
        <v>1.0773780504882806</v>
      </c>
      <c r="S67" s="361">
        <v>58.529352569681656</v>
      </c>
      <c r="T67" s="360">
        <v>0.21535388722149859</v>
      </c>
      <c r="U67" s="360">
        <v>3.2452644034367248E-2</v>
      </c>
      <c r="V67" s="360">
        <v>5.8415095055054524E-2</v>
      </c>
      <c r="W67" s="360">
        <v>0.36316963079833892</v>
      </c>
      <c r="X67" s="360">
        <v>5.084537870279203E-2</v>
      </c>
      <c r="Y67" s="360">
        <v>0.48889219124087152</v>
      </c>
      <c r="Z67" s="360">
        <v>0.48889219124087147</v>
      </c>
      <c r="AA67" s="362">
        <v>0.24067439829514758</v>
      </c>
    </row>
    <row r="68" spans="1:27" s="320" customFormat="1">
      <c r="A68" s="359" t="s">
        <v>572</v>
      </c>
      <c r="B68" s="144">
        <v>331</v>
      </c>
      <c r="C68" s="360">
        <v>4.2859734513274496E-3</v>
      </c>
      <c r="D68" s="360">
        <v>8.0479592132781844E-2</v>
      </c>
      <c r="E68" s="360">
        <v>6.6709877734916337E-2</v>
      </c>
      <c r="F68" s="360">
        <v>0.24965599001655334</v>
      </c>
      <c r="G68" s="361">
        <v>0.93460705605402128</v>
      </c>
      <c r="H68" s="361">
        <v>1.0117609591830119</v>
      </c>
      <c r="I68" s="360">
        <v>6.7577431248941486E-2</v>
      </c>
      <c r="J68" s="360">
        <v>0.33210412200889905</v>
      </c>
      <c r="K68" s="360">
        <v>3.5299999999999998E-2</v>
      </c>
      <c r="L68" s="360">
        <v>0.2003215277363509</v>
      </c>
      <c r="M68" s="360">
        <v>5.9263823173276449E-2</v>
      </c>
      <c r="N68" s="361">
        <v>0.94694420257915346</v>
      </c>
      <c r="O68" s="361">
        <v>3.3730539906020716</v>
      </c>
      <c r="P68" s="361">
        <v>20.530262823460074</v>
      </c>
      <c r="Q68" s="361">
        <v>39.257498216670399</v>
      </c>
      <c r="R68" s="361">
        <v>3.7015014835215094</v>
      </c>
      <c r="S68" s="361">
        <v>71.571198523185913</v>
      </c>
      <c r="T68" s="360">
        <v>0.34595963119417467</v>
      </c>
      <c r="U68" s="360">
        <v>6.9103137539471046E-2</v>
      </c>
      <c r="V68" s="360">
        <v>6.9276019252980256E-2</v>
      </c>
      <c r="W68" s="360">
        <v>1.4473768355146879</v>
      </c>
      <c r="X68" s="360">
        <v>2.7920977873711991E-2</v>
      </c>
      <c r="Y68" s="360">
        <v>1.9260136266613193</v>
      </c>
      <c r="Z68" s="360">
        <v>1.9260136266613193</v>
      </c>
      <c r="AA68" s="362">
        <v>7.975210556387026E-2</v>
      </c>
    </row>
    <row r="69" spans="1:27" s="320" customFormat="1">
      <c r="A69" s="359" t="s">
        <v>573</v>
      </c>
      <c r="B69" s="144">
        <v>37</v>
      </c>
      <c r="C69" s="360">
        <v>4.2927096774193554E-2</v>
      </c>
      <c r="D69" s="360">
        <v>3.7978976974457811E-2</v>
      </c>
      <c r="E69" s="360">
        <v>5.1770973043944311E-2</v>
      </c>
      <c r="F69" s="360">
        <v>0.13758415221248849</v>
      </c>
      <c r="G69" s="361">
        <v>1.2520897822012522</v>
      </c>
      <c r="H69" s="361">
        <v>1.2696688592443122</v>
      </c>
      <c r="I69" s="360">
        <v>8.2432926292472383E-2</v>
      </c>
      <c r="J69" s="360">
        <v>0.28791202923342046</v>
      </c>
      <c r="K69" s="360">
        <v>3.5299999999999998E-2</v>
      </c>
      <c r="L69" s="360">
        <v>0.23724363082006256</v>
      </c>
      <c r="M69" s="360">
        <v>6.9062630573786976E-2</v>
      </c>
      <c r="N69" s="361">
        <v>1.5344867802693369</v>
      </c>
      <c r="O69" s="361">
        <v>0.66817980021924561</v>
      </c>
      <c r="P69" s="361">
        <v>11.422737106280737</v>
      </c>
      <c r="Q69" s="361">
        <v>13.94519406019538</v>
      </c>
      <c r="R69" s="361">
        <v>0.90525096289028206</v>
      </c>
      <c r="S69" s="361">
        <v>188.43989619220079</v>
      </c>
      <c r="T69" s="360">
        <v>-0.41179426502563449</v>
      </c>
      <c r="U69" s="360">
        <v>1.6419803986456364E-3</v>
      </c>
      <c r="V69" s="360">
        <v>-7.5566665480678404E-5</v>
      </c>
      <c r="W69" s="360">
        <v>0.25394574631979033</v>
      </c>
      <c r="X69" s="360">
        <v>3.3419604200959754E-2</v>
      </c>
      <c r="Y69" s="360">
        <v>0.93491435943590806</v>
      </c>
      <c r="Z69" s="360">
        <v>0.93491435943590806</v>
      </c>
      <c r="AA69" s="362">
        <v>3.7811858556204121E-2</v>
      </c>
    </row>
    <row r="70" spans="1:27" s="320" customFormat="1">
      <c r="A70" s="359" t="s">
        <v>574</v>
      </c>
      <c r="B70" s="144">
        <v>379</v>
      </c>
      <c r="C70" s="360">
        <v>-5.2900396825396835E-3</v>
      </c>
      <c r="D70" s="360">
        <v>6.0159209417432434E-2</v>
      </c>
      <c r="E70" s="360">
        <v>5.4160782684192027E-2</v>
      </c>
      <c r="F70" s="360">
        <v>0.20919003982135809</v>
      </c>
      <c r="G70" s="361">
        <v>0.90397549168070235</v>
      </c>
      <c r="H70" s="361">
        <v>1.0980133691205789</v>
      </c>
      <c r="I70" s="360">
        <v>7.2545570061345349E-2</v>
      </c>
      <c r="J70" s="360">
        <v>0.31963507648362244</v>
      </c>
      <c r="K70" s="360">
        <v>3.5299999999999998E-2</v>
      </c>
      <c r="L70" s="360">
        <v>0.26738881524164293</v>
      </c>
      <c r="M70" s="360">
        <v>6.0120156190623372E-2</v>
      </c>
      <c r="N70" s="361">
        <v>1.4588560793159122</v>
      </c>
      <c r="O70" s="361">
        <v>3.3652569110653676</v>
      </c>
      <c r="P70" s="361">
        <v>22.801882704261608</v>
      </c>
      <c r="Q70" s="361">
        <v>80.661850474696365</v>
      </c>
      <c r="R70" s="361">
        <v>16.009171001178881</v>
      </c>
      <c r="S70" s="361">
        <v>127.2499841457048</v>
      </c>
      <c r="T70" s="360">
        <v>-3.5887537620460535E-3</v>
      </c>
      <c r="U70" s="360">
        <v>4.8738348219182638E-2</v>
      </c>
      <c r="V70" s="360">
        <v>6.9651134530397266E-3</v>
      </c>
      <c r="W70" s="360">
        <v>0.34964872209516107</v>
      </c>
      <c r="X70" s="360">
        <v>5.1712395508900395E-2</v>
      </c>
      <c r="Y70" s="360">
        <v>4.5950242823444132</v>
      </c>
      <c r="Z70" s="360">
        <v>4.5950242823444132</v>
      </c>
      <c r="AA70" s="362">
        <v>4.0266380717888239E-2</v>
      </c>
    </row>
    <row r="71" spans="1:27" s="320" customFormat="1">
      <c r="A71" s="359" t="s">
        <v>575</v>
      </c>
      <c r="B71" s="144">
        <v>185</v>
      </c>
      <c r="C71" s="360">
        <v>3.5018931297709915E-2</v>
      </c>
      <c r="D71" s="360">
        <v>4.8965058541415592E-2</v>
      </c>
      <c r="E71" s="360">
        <v>8.3952322227083612E-2</v>
      </c>
      <c r="F71" s="360">
        <v>0.23661263900000701</v>
      </c>
      <c r="G71" s="361">
        <v>0.81980561082842807</v>
      </c>
      <c r="H71" s="361">
        <v>1.0700510989492495</v>
      </c>
      <c r="I71" s="360">
        <v>7.0934943299476777E-2</v>
      </c>
      <c r="J71" s="360">
        <v>0.30483746183514399</v>
      </c>
      <c r="K71" s="360">
        <v>3.5299999999999998E-2</v>
      </c>
      <c r="L71" s="360">
        <v>0.34597799233565452</v>
      </c>
      <c r="M71" s="360">
        <v>5.5414774216003999E-2</v>
      </c>
      <c r="N71" s="361">
        <v>2.2807705591323653</v>
      </c>
      <c r="O71" s="361">
        <v>0.95842436234808448</v>
      </c>
      <c r="P71" s="361">
        <v>11.88931397167438</v>
      </c>
      <c r="Q71" s="361">
        <v>19.810087509167047</v>
      </c>
      <c r="R71" s="361">
        <v>3.3757801421974696</v>
      </c>
      <c r="S71" s="361">
        <v>43.313102504874884</v>
      </c>
      <c r="T71" s="360">
        <v>0.11513950156342101</v>
      </c>
      <c r="U71" s="360">
        <v>2.3019766495647943E-2</v>
      </c>
      <c r="V71" s="360">
        <v>1.5418598616611984E-2</v>
      </c>
      <c r="W71" s="360">
        <v>3.9266418788244835E-3</v>
      </c>
      <c r="X71" s="360">
        <v>0.13992124464706138</v>
      </c>
      <c r="Y71" s="360">
        <v>0.36415347710442519</v>
      </c>
      <c r="Z71" s="360">
        <v>0.36415347710442525</v>
      </c>
      <c r="AA71" s="362">
        <v>4.449359451236929E-2</v>
      </c>
    </row>
    <row r="72" spans="1:27" s="320" customFormat="1">
      <c r="A72" s="359" t="s">
        <v>576</v>
      </c>
      <c r="B72" s="144">
        <v>90</v>
      </c>
      <c r="C72" s="360">
        <v>2.8206250000000002E-2</v>
      </c>
      <c r="D72" s="360">
        <v>0.11623659269182686</v>
      </c>
      <c r="E72" s="360">
        <v>0.24982671398153575</v>
      </c>
      <c r="F72" s="360">
        <v>0.24939746537409957</v>
      </c>
      <c r="G72" s="361">
        <v>1.0567173048040781</v>
      </c>
      <c r="H72" s="361">
        <v>1.1443960173094869</v>
      </c>
      <c r="I72" s="360">
        <v>7.5217210597026449E-2</v>
      </c>
      <c r="J72" s="360">
        <v>0.28186126519449634</v>
      </c>
      <c r="K72" s="360">
        <v>3.5299999999999998E-2</v>
      </c>
      <c r="L72" s="360">
        <v>0.17020372300281458</v>
      </c>
      <c r="M72" s="360">
        <v>6.6853212322956712E-2</v>
      </c>
      <c r="N72" s="361">
        <v>2.7781158448277607</v>
      </c>
      <c r="O72" s="361">
        <v>1.8438475036111974</v>
      </c>
      <c r="P72" s="361">
        <v>12.329621707102721</v>
      </c>
      <c r="Q72" s="361">
        <v>16.215827826771573</v>
      </c>
      <c r="R72" s="361">
        <v>10.725438237273437</v>
      </c>
      <c r="S72" s="361">
        <v>46.211411663525737</v>
      </c>
      <c r="T72" s="360">
        <v>5.3156211252689739E-2</v>
      </c>
      <c r="U72" s="360">
        <v>2.0771525993902109E-2</v>
      </c>
      <c r="V72" s="360">
        <v>5.1231408000562435E-4</v>
      </c>
      <c r="W72" s="360">
        <v>-0.25475018889805434</v>
      </c>
      <c r="X72" s="360">
        <v>0.5515778855152732</v>
      </c>
      <c r="Y72" s="360">
        <v>0.43424734723278618</v>
      </c>
      <c r="Z72" s="360">
        <v>0.43424734723278613</v>
      </c>
      <c r="AA72" s="362">
        <v>0.11364826473151755</v>
      </c>
    </row>
    <row r="73" spans="1:27" s="320" customFormat="1">
      <c r="A73" s="359" t="s">
        <v>577</v>
      </c>
      <c r="B73" s="144">
        <v>1022</v>
      </c>
      <c r="C73" s="360">
        <v>6.6209037138927049E-2</v>
      </c>
      <c r="D73" s="360">
        <v>3.6528182814979986E-2</v>
      </c>
      <c r="E73" s="360">
        <v>5.2280262972447665E-2</v>
      </c>
      <c r="F73" s="360">
        <v>0.23158351463796487</v>
      </c>
      <c r="G73" s="361">
        <v>0.56829921064285172</v>
      </c>
      <c r="H73" s="361">
        <v>0.83058623336352666</v>
      </c>
      <c r="I73" s="360">
        <v>5.7141767041739136E-2</v>
      </c>
      <c r="J73" s="360">
        <v>0.29102214535003457</v>
      </c>
      <c r="K73" s="360">
        <v>3.5299999999999998E-2</v>
      </c>
      <c r="L73" s="360">
        <v>0.46284679439490467</v>
      </c>
      <c r="M73" s="360">
        <v>4.2763127264198682E-2</v>
      </c>
      <c r="N73" s="361">
        <v>1.6753292969285181</v>
      </c>
      <c r="O73" s="361">
        <v>0.80827016123340822</v>
      </c>
      <c r="P73" s="361">
        <v>13.452513353995348</v>
      </c>
      <c r="Q73" s="361">
        <v>21.203287593586882</v>
      </c>
      <c r="R73" s="361">
        <v>1.3981699880791132</v>
      </c>
      <c r="S73" s="361">
        <v>66.680198816875958</v>
      </c>
      <c r="T73" s="360">
        <v>0.15310024632699371</v>
      </c>
      <c r="U73" s="360">
        <v>3.0185904977333783E-2</v>
      </c>
      <c r="V73" s="360">
        <v>2.4509913421407365E-2</v>
      </c>
      <c r="W73" s="360">
        <v>0.42864874122544977</v>
      </c>
      <c r="X73" s="360">
        <v>5.730397944045916E-2</v>
      </c>
      <c r="Y73" s="360">
        <v>0.75546371458309536</v>
      </c>
      <c r="Z73" s="360">
        <v>0.75546371458309536</v>
      </c>
      <c r="AA73" s="362">
        <v>3.6833456488232046E-2</v>
      </c>
    </row>
    <row r="74" spans="1:27" s="320" customFormat="1">
      <c r="A74" s="359" t="s">
        <v>578</v>
      </c>
      <c r="B74" s="144">
        <v>217</v>
      </c>
      <c r="C74" s="360">
        <v>-1.1407988826815652E-2</v>
      </c>
      <c r="D74" s="360">
        <v>4.3138262543505806E-2</v>
      </c>
      <c r="E74" s="360">
        <v>8.6637332038437098E-2</v>
      </c>
      <c r="F74" s="360">
        <v>0.26860119219565864</v>
      </c>
      <c r="G74" s="361">
        <v>0.83601169289773625</v>
      </c>
      <c r="H74" s="361">
        <v>0.99262972496568336</v>
      </c>
      <c r="I74" s="360">
        <v>6.6475472158023366E-2</v>
      </c>
      <c r="J74" s="360">
        <v>0.2572793768540807</v>
      </c>
      <c r="K74" s="360">
        <v>3.5299999999999998E-2</v>
      </c>
      <c r="L74" s="360">
        <v>0.26948287835953866</v>
      </c>
      <c r="M74" s="360">
        <v>5.5588535759789809E-2</v>
      </c>
      <c r="N74" s="361">
        <v>2.7138331674586369</v>
      </c>
      <c r="O74" s="361">
        <v>0.96450126377570633</v>
      </c>
      <c r="P74" s="361">
        <v>12.760976623828352</v>
      </c>
      <c r="Q74" s="361">
        <v>24.542236626760943</v>
      </c>
      <c r="R74" s="361">
        <v>3.3377367920575516</v>
      </c>
      <c r="S74" s="361">
        <v>61.885892413707744</v>
      </c>
      <c r="T74" s="360">
        <v>-1.8599070726929373E-2</v>
      </c>
      <c r="U74" s="360">
        <v>2.4105534937314807E-2</v>
      </c>
      <c r="V74" s="360">
        <v>1.8030789783290541E-3</v>
      </c>
      <c r="W74" s="360">
        <v>-0.15302365996144848</v>
      </c>
      <c r="X74" s="360">
        <v>9.9889442292963107E-2</v>
      </c>
      <c r="Y74" s="360">
        <v>0.55814370597192031</v>
      </c>
      <c r="Z74" s="360">
        <v>0.55814370597192031</v>
      </c>
      <c r="AA74" s="362">
        <v>3.8765642590881264E-2</v>
      </c>
    </row>
    <row r="75" spans="1:27" s="320" customFormat="1">
      <c r="A75" s="359" t="s">
        <v>579</v>
      </c>
      <c r="B75" s="144">
        <v>171</v>
      </c>
      <c r="C75" s="360">
        <v>3.7350583941605835E-2</v>
      </c>
      <c r="D75" s="360">
        <v>4.3094298950985432E-2</v>
      </c>
      <c r="E75" s="360">
        <v>0.11086978401287294</v>
      </c>
      <c r="F75" s="360">
        <v>0.25332773789268748</v>
      </c>
      <c r="G75" s="361">
        <v>0.46899598303943174</v>
      </c>
      <c r="H75" s="361">
        <v>0.62090837887265571</v>
      </c>
      <c r="I75" s="360">
        <v>4.5064322623064965E-2</v>
      </c>
      <c r="J75" s="360">
        <v>0.21914600518311636</v>
      </c>
      <c r="K75" s="360">
        <v>2.8699999999999996E-2</v>
      </c>
      <c r="L75" s="360">
        <v>0.37545613633961356</v>
      </c>
      <c r="M75" s="360">
        <v>3.6104575319381035E-2</v>
      </c>
      <c r="N75" s="361">
        <v>3.3962154280606267</v>
      </c>
      <c r="O75" s="361">
        <v>0.63544203923178744</v>
      </c>
      <c r="P75" s="361">
        <v>9.0462257452135759</v>
      </c>
      <c r="Q75" s="361">
        <v>15.416222137347557</v>
      </c>
      <c r="R75" s="361">
        <v>2.2766364814256095</v>
      </c>
      <c r="S75" s="361">
        <v>53.404036302266277</v>
      </c>
      <c r="T75" s="360">
        <v>-3.3136682251077437E-2</v>
      </c>
      <c r="U75" s="360">
        <v>2.6463753248374321E-2</v>
      </c>
      <c r="V75" s="360">
        <v>4.593110317627414E-3</v>
      </c>
      <c r="W75" s="360">
        <v>0.24827958855405888</v>
      </c>
      <c r="X75" s="360">
        <v>0.11408848077040329</v>
      </c>
      <c r="Y75" s="360">
        <v>0.47073005262944217</v>
      </c>
      <c r="Z75" s="360">
        <v>0.47073005262944223</v>
      </c>
      <c r="AA75" s="362">
        <v>4.1113843015044331E-2</v>
      </c>
    </row>
    <row r="76" spans="1:27" s="320" customFormat="1">
      <c r="A76" s="359" t="s">
        <v>580</v>
      </c>
      <c r="B76" s="144">
        <v>356</v>
      </c>
      <c r="C76" s="360">
        <v>0.13381464864864856</v>
      </c>
      <c r="D76" s="360">
        <v>4.7501794676898801E-2</v>
      </c>
      <c r="E76" s="360">
        <v>8.6685342227960663E-2</v>
      </c>
      <c r="F76" s="360">
        <v>0.14081453314852424</v>
      </c>
      <c r="G76" s="361">
        <v>1.3114219547764037</v>
      </c>
      <c r="H76" s="361">
        <v>1.3113857544279961</v>
      </c>
      <c r="I76" s="360">
        <v>8.4835819455052572E-2</v>
      </c>
      <c r="J76" s="360">
        <v>0.39838728471446971</v>
      </c>
      <c r="K76" s="360">
        <v>3.5299999999999998E-2</v>
      </c>
      <c r="L76" s="360">
        <v>5.7376931772636933E-2</v>
      </c>
      <c r="M76" s="360">
        <v>8.1464367614670061E-2</v>
      </c>
      <c r="N76" s="361">
        <v>1.7599439509309411</v>
      </c>
      <c r="O76" s="361">
        <v>5.0633735068431669</v>
      </c>
      <c r="P76" s="361">
        <v>36.225688454599883</v>
      </c>
      <c r="Q76" s="361">
        <v>91.768729792634659</v>
      </c>
      <c r="R76" s="361">
        <v>8.839980484615392</v>
      </c>
      <c r="S76" s="361">
        <v>110.83377838843676</v>
      </c>
      <c r="T76" s="360">
        <v>-2.9669413385307424E-2</v>
      </c>
      <c r="U76" s="360">
        <v>6.3584441187582469E-2</v>
      </c>
      <c r="V76" s="360">
        <v>3.987692127301868E-2</v>
      </c>
      <c r="W76" s="360">
        <v>0.98199809500669966</v>
      </c>
      <c r="X76" s="360">
        <v>0.14894789455396087</v>
      </c>
      <c r="Y76" s="360">
        <v>5.0312735130040975E-2</v>
      </c>
      <c r="Z76" s="360">
        <v>5.0312735130040975E-2</v>
      </c>
      <c r="AA76" s="362">
        <v>5.3846064430240315E-2</v>
      </c>
    </row>
    <row r="77" spans="1:27" s="320" customFormat="1">
      <c r="A77" s="359" t="s">
        <v>581</v>
      </c>
      <c r="B77" s="144">
        <v>480</v>
      </c>
      <c r="C77" s="360">
        <v>1.5052514124293804E-2</v>
      </c>
      <c r="D77" s="360">
        <v>3.469280758405615E-2</v>
      </c>
      <c r="E77" s="360">
        <v>6.3930733080343402E-2</v>
      </c>
      <c r="F77" s="360">
        <v>0.27420141871305542</v>
      </c>
      <c r="G77" s="361">
        <v>0.95884751887749875</v>
      </c>
      <c r="H77" s="361">
        <v>1.0890217337097654</v>
      </c>
      <c r="I77" s="360">
        <v>7.2027651861682487E-2</v>
      </c>
      <c r="J77" s="360">
        <v>0.32035357389332297</v>
      </c>
      <c r="K77" s="360">
        <v>3.5299999999999998E-2</v>
      </c>
      <c r="L77" s="360">
        <v>0.2528564569561445</v>
      </c>
      <c r="M77" s="360">
        <v>6.04085077948655E-2</v>
      </c>
      <c r="N77" s="361">
        <v>2.2360887564996141</v>
      </c>
      <c r="O77" s="361">
        <v>1.3044020396015177</v>
      </c>
      <c r="P77" s="361">
        <v>14.286604286405765</v>
      </c>
      <c r="Q77" s="361">
        <v>38.133243189816746</v>
      </c>
      <c r="R77" s="361">
        <v>4.053750466850901</v>
      </c>
      <c r="S77" s="361">
        <v>38.358792442424424</v>
      </c>
      <c r="T77" s="360">
        <v>6.0552781174375542E-2</v>
      </c>
      <c r="U77" s="360">
        <v>1.7110484458779003E-2</v>
      </c>
      <c r="V77" s="360">
        <v>-6.444298860516757E-3</v>
      </c>
      <c r="W77" s="360">
        <v>-1.0135662397922771</v>
      </c>
      <c r="X77" s="360">
        <v>2.2919820972104276E-2</v>
      </c>
      <c r="Y77" s="360">
        <v>2.0173268130575543</v>
      </c>
      <c r="Z77" s="360">
        <v>2.0173268130575543</v>
      </c>
      <c r="AA77" s="362">
        <v>3.317893941801664E-2</v>
      </c>
    </row>
    <row r="78" spans="1:27" s="320" customFormat="1">
      <c r="A78" s="359" t="s">
        <v>582</v>
      </c>
      <c r="B78" s="144">
        <v>92</v>
      </c>
      <c r="C78" s="360">
        <v>3.0562121212121219E-3</v>
      </c>
      <c r="D78" s="360">
        <v>5.6216340825908664E-2</v>
      </c>
      <c r="E78" s="360">
        <v>4.4223517068392171E-2</v>
      </c>
      <c r="F78" s="360">
        <v>0.29952356213392439</v>
      </c>
      <c r="G78" s="361">
        <v>0.85869462811447239</v>
      </c>
      <c r="H78" s="361">
        <v>1.0440216408610408</v>
      </c>
      <c r="I78" s="360">
        <v>6.9435646513595947E-2</v>
      </c>
      <c r="J78" s="360">
        <v>0.25607853647573625</v>
      </c>
      <c r="K78" s="360">
        <v>3.5299999999999998E-2</v>
      </c>
      <c r="L78" s="360">
        <v>0.34330448992494217</v>
      </c>
      <c r="M78" s="360">
        <v>5.455012294741398E-2</v>
      </c>
      <c r="N78" s="361">
        <v>0.99941594508537157</v>
      </c>
      <c r="O78" s="361">
        <v>1.1802286452530013</v>
      </c>
      <c r="P78" s="361">
        <v>8.3949195258306482</v>
      </c>
      <c r="Q78" s="361">
        <v>20.156345820775165</v>
      </c>
      <c r="R78" s="361">
        <v>1.3309983571384347</v>
      </c>
      <c r="S78" s="361">
        <v>30.654901894650372</v>
      </c>
      <c r="T78" s="360">
        <v>0.19354105745315298</v>
      </c>
      <c r="U78" s="360">
        <v>5.4716801454572007E-2</v>
      </c>
      <c r="V78" s="360">
        <v>1.1382795561056465E-2</v>
      </c>
      <c r="W78" s="360">
        <v>-0.1249399737415639</v>
      </c>
      <c r="X78" s="360">
        <v>2.6500831319809709E-2</v>
      </c>
      <c r="Y78" s="360">
        <v>1.1037913523011518</v>
      </c>
      <c r="Z78" s="360">
        <v>1.1037913523011518</v>
      </c>
      <c r="AA78" s="362">
        <v>5.3900338071794118E-2</v>
      </c>
    </row>
    <row r="79" spans="1:27" s="320" customFormat="1">
      <c r="A79" s="359" t="s">
        <v>583</v>
      </c>
      <c r="B79" s="144">
        <v>565</v>
      </c>
      <c r="C79" s="360">
        <v>4.5546287703016206E-2</v>
      </c>
      <c r="D79" s="360">
        <v>0.18192554429090721</v>
      </c>
      <c r="E79" s="360">
        <v>0.13957824407992553</v>
      </c>
      <c r="F79" s="360">
        <v>0.12092342441406735</v>
      </c>
      <c r="G79" s="361">
        <v>1.4320884315366331</v>
      </c>
      <c r="H79" s="361">
        <v>1.4604657403163814</v>
      </c>
      <c r="I79" s="360">
        <v>9.3422826642223566E-2</v>
      </c>
      <c r="J79" s="360">
        <v>0.32400335626226773</v>
      </c>
      <c r="K79" s="360">
        <v>3.5299999999999998E-2</v>
      </c>
      <c r="L79" s="360">
        <v>8.494679491689297E-2</v>
      </c>
      <c r="M79" s="360">
        <v>8.7701938915290503E-2</v>
      </c>
      <c r="N79" s="361">
        <v>0.79821829016905088</v>
      </c>
      <c r="O79" s="361">
        <v>5.9556890737208183</v>
      </c>
      <c r="P79" s="361">
        <v>17.813177456921434</v>
      </c>
      <c r="Q79" s="361">
        <v>31.938803435592277</v>
      </c>
      <c r="R79" s="361">
        <v>5.3118109391692716</v>
      </c>
      <c r="S79" s="361">
        <v>254.64890293126535</v>
      </c>
      <c r="T79" s="360">
        <v>0.16627383510342844</v>
      </c>
      <c r="U79" s="360">
        <v>0.15668921634728375</v>
      </c>
      <c r="V79" s="360">
        <v>0.14784538643129233</v>
      </c>
      <c r="W79" s="360">
        <v>1.0165541100549904</v>
      </c>
      <c r="X79" s="360">
        <v>0.16885649393948046</v>
      </c>
      <c r="Y79" s="360">
        <v>0.44421195260509733</v>
      </c>
      <c r="Z79" s="360">
        <v>0.44421195260509738</v>
      </c>
      <c r="AA79" s="362">
        <v>0.19154936218173299</v>
      </c>
    </row>
    <row r="80" spans="1:27" s="320" customFormat="1">
      <c r="A80" s="359" t="s">
        <v>584</v>
      </c>
      <c r="B80" s="144">
        <v>308</v>
      </c>
      <c r="C80" s="360">
        <v>7.1497276995305142E-2</v>
      </c>
      <c r="D80" s="360">
        <v>0.18844245302525117</v>
      </c>
      <c r="E80" s="360">
        <v>0.18607449770217854</v>
      </c>
      <c r="F80" s="360">
        <v>0.16105200100995765</v>
      </c>
      <c r="G80" s="361">
        <v>1.7312795141670492</v>
      </c>
      <c r="H80" s="361">
        <v>1.725312705976888</v>
      </c>
      <c r="I80" s="360">
        <v>0.10867801186426874</v>
      </c>
      <c r="J80" s="360">
        <v>0.3370362624649953</v>
      </c>
      <c r="K80" s="360">
        <v>3.5299999999999998E-2</v>
      </c>
      <c r="L80" s="360">
        <v>5.9052605831114234E-2</v>
      </c>
      <c r="M80" s="360">
        <v>0.10380015431257771</v>
      </c>
      <c r="N80" s="361">
        <v>1.0826223177464123</v>
      </c>
      <c r="O80" s="361">
        <v>5.5753156228002796</v>
      </c>
      <c r="P80" s="361">
        <v>22.859631022634719</v>
      </c>
      <c r="Q80" s="361">
        <v>29.164732876275398</v>
      </c>
      <c r="R80" s="361">
        <v>6.6997819372687974</v>
      </c>
      <c r="S80" s="361">
        <v>84.832888778897811</v>
      </c>
      <c r="T80" s="360">
        <v>0.29828142612368935</v>
      </c>
      <c r="U80" s="360">
        <v>5.957357751597131E-2</v>
      </c>
      <c r="V80" s="360">
        <v>3.6570509984575755E-2</v>
      </c>
      <c r="W80" s="360">
        <v>0.38196691385749265</v>
      </c>
      <c r="X80" s="360">
        <v>0.2138047091400965</v>
      </c>
      <c r="Y80" s="360">
        <v>0.31507257362441277</v>
      </c>
      <c r="Z80" s="360">
        <v>0.31507257362441277</v>
      </c>
      <c r="AA80" s="362">
        <v>0.19694364226538294</v>
      </c>
    </row>
    <row r="81" spans="1:27" s="320" customFormat="1">
      <c r="A81" s="359" t="s">
        <v>585</v>
      </c>
      <c r="B81" s="144">
        <v>353</v>
      </c>
      <c r="C81" s="360">
        <v>1.5926799999999998E-2</v>
      </c>
      <c r="D81" s="360">
        <v>8.1758576704578881E-2</v>
      </c>
      <c r="E81" s="360">
        <v>4.9673200879553091E-2</v>
      </c>
      <c r="F81" s="360">
        <v>0.19102891193397079</v>
      </c>
      <c r="G81" s="361">
        <v>0.76336169446436286</v>
      </c>
      <c r="H81" s="361">
        <v>1.02883186828969</v>
      </c>
      <c r="I81" s="360">
        <v>6.8560715613486145E-2</v>
      </c>
      <c r="J81" s="360">
        <v>0.26290355041098717</v>
      </c>
      <c r="K81" s="360">
        <v>3.5299999999999998E-2</v>
      </c>
      <c r="L81" s="360">
        <v>0.40193307768280934</v>
      </c>
      <c r="M81" s="360">
        <v>5.1484747325117299E-2</v>
      </c>
      <c r="N81" s="361">
        <v>0.68392948716062241</v>
      </c>
      <c r="O81" s="361">
        <v>1.9276378810897623</v>
      </c>
      <c r="P81" s="361">
        <v>11.541776817028166</v>
      </c>
      <c r="Q81" s="361">
        <v>22.599930441373402</v>
      </c>
      <c r="R81" s="361">
        <v>1.2412284068863078</v>
      </c>
      <c r="S81" s="361">
        <v>915.77185787089013</v>
      </c>
      <c r="T81" s="360">
        <v>-6.8013382777246589E-4</v>
      </c>
      <c r="U81" s="360">
        <v>9.4533054043486997E-2</v>
      </c>
      <c r="V81" s="360">
        <v>3.2216609402805532E-2</v>
      </c>
      <c r="W81" s="360">
        <v>0.42718571231971092</v>
      </c>
      <c r="X81" s="360">
        <v>5.6814682243113451E-2</v>
      </c>
      <c r="Y81" s="360">
        <v>0.61792835529138956</v>
      </c>
      <c r="Z81" s="360">
        <v>0.61792835529138956</v>
      </c>
      <c r="AA81" s="362">
        <v>8.3531103834210599E-2</v>
      </c>
    </row>
    <row r="82" spans="1:27" s="320" customFormat="1">
      <c r="A82" s="359" t="s">
        <v>586</v>
      </c>
      <c r="B82" s="144">
        <v>79</v>
      </c>
      <c r="C82" s="360">
        <v>-5.8950819672131158E-2</v>
      </c>
      <c r="D82" s="360">
        <v>6.2580321486269477E-2</v>
      </c>
      <c r="E82" s="360">
        <v>9.4542948656638509E-2</v>
      </c>
      <c r="F82" s="360">
        <v>0.18568679154226103</v>
      </c>
      <c r="G82" s="361">
        <v>0.98624242045883892</v>
      </c>
      <c r="H82" s="361">
        <v>1.0070690763979555</v>
      </c>
      <c r="I82" s="360">
        <v>6.7307178800522241E-2</v>
      </c>
      <c r="J82" s="360">
        <v>0.29352069202434872</v>
      </c>
      <c r="K82" s="360">
        <v>3.5299999999999998E-2</v>
      </c>
      <c r="L82" s="360">
        <v>9.1303520465504648E-2</v>
      </c>
      <c r="M82" s="360">
        <v>6.3542637066479127E-2</v>
      </c>
      <c r="N82" s="361">
        <v>1.7204343077244941</v>
      </c>
      <c r="O82" s="361">
        <v>3.7349267766834107</v>
      </c>
      <c r="P82" s="361">
        <v>33.746685930031617</v>
      </c>
      <c r="Q82" s="361">
        <v>60.068377128714154</v>
      </c>
      <c r="R82" s="361">
        <v>7.7441210345607328</v>
      </c>
      <c r="S82" s="361">
        <v>108.91796356952068</v>
      </c>
      <c r="T82" s="360">
        <v>0.19765000133103522</v>
      </c>
      <c r="U82" s="360">
        <v>1.6273876099341878E-2</v>
      </c>
      <c r="V82" s="360">
        <v>-1.4453073537232009E-2</v>
      </c>
      <c r="W82" s="360">
        <v>-0.3975997882656982</v>
      </c>
      <c r="X82" s="360">
        <v>9.9506486398969238E-2</v>
      </c>
      <c r="Y82" s="360">
        <v>0.65382131432993185</v>
      </c>
      <c r="Z82" s="360">
        <v>0.65382131432993185</v>
      </c>
      <c r="AA82" s="362">
        <v>6.1575399541633519E-2</v>
      </c>
    </row>
    <row r="83" spans="1:27" s="320" customFormat="1">
      <c r="A83" s="359" t="s">
        <v>587</v>
      </c>
      <c r="B83" s="144">
        <v>339</v>
      </c>
      <c r="C83" s="360">
        <v>8.1433511450381649E-2</v>
      </c>
      <c r="D83" s="360">
        <v>0.19779940546390076</v>
      </c>
      <c r="E83" s="360">
        <v>0.13999901760611586</v>
      </c>
      <c r="F83" s="360">
        <v>0.13926847603672909</v>
      </c>
      <c r="G83" s="361">
        <v>1.1300805915396532</v>
      </c>
      <c r="H83" s="361">
        <v>1.1310278949888313</v>
      </c>
      <c r="I83" s="360">
        <v>7.4447206751356687E-2</v>
      </c>
      <c r="J83" s="360">
        <v>0.42350712300861326</v>
      </c>
      <c r="K83" s="360">
        <v>3.9480000000000001E-2</v>
      </c>
      <c r="L83" s="360">
        <v>4.0670896823655392E-2</v>
      </c>
      <c r="M83" s="360">
        <v>7.2605493078536795E-2</v>
      </c>
      <c r="N83" s="361">
        <v>0.72647610459665724</v>
      </c>
      <c r="O83" s="361">
        <v>7.9912269512526448</v>
      </c>
      <c r="P83" s="361">
        <v>25.76099250146309</v>
      </c>
      <c r="Q83" s="361">
        <v>38.876107720162629</v>
      </c>
      <c r="R83" s="361">
        <v>5.9513650406406411</v>
      </c>
      <c r="S83" s="361">
        <v>122.10940688102315</v>
      </c>
      <c r="T83" s="360">
        <v>1.5369657864021155E-2</v>
      </c>
      <c r="U83" s="360">
        <v>0.10826051026723006</v>
      </c>
      <c r="V83" s="360">
        <v>7.1205729837922963E-2</v>
      </c>
      <c r="W83" s="360">
        <v>0.51132954419824661</v>
      </c>
      <c r="X83" s="360">
        <v>0.18416350954018229</v>
      </c>
      <c r="Y83" s="360">
        <v>3.7233493622504749E-2</v>
      </c>
      <c r="Z83" s="360">
        <v>3.7233493622504721E-2</v>
      </c>
      <c r="AA83" s="362">
        <v>0.21046397620895199</v>
      </c>
    </row>
    <row r="84" spans="1:27" s="320" customFormat="1">
      <c r="A84" s="359" t="s">
        <v>588</v>
      </c>
      <c r="B84" s="144">
        <v>155</v>
      </c>
      <c r="C84" s="360">
        <v>0.23828485714285713</v>
      </c>
      <c r="D84" s="360">
        <v>3.6440699845695444E-2</v>
      </c>
      <c r="E84" s="360">
        <v>5.5094408123753727E-2</v>
      </c>
      <c r="F84" s="360">
        <v>0.12492018675446852</v>
      </c>
      <c r="G84" s="361">
        <v>0.93156693268285518</v>
      </c>
      <c r="H84" s="361">
        <v>0.94660920534477011</v>
      </c>
      <c r="I84" s="360">
        <v>6.3824690227858763E-2</v>
      </c>
      <c r="J84" s="360">
        <v>0.34767146121282888</v>
      </c>
      <c r="K84" s="360">
        <v>3.5299999999999998E-2</v>
      </c>
      <c r="L84" s="360">
        <v>7.0875005402865066E-2</v>
      </c>
      <c r="M84" s="360">
        <v>6.1149259400258789E-2</v>
      </c>
      <c r="N84" s="361">
        <v>1.2628020819928294</v>
      </c>
      <c r="O84" s="361">
        <v>11.15136637631543</v>
      </c>
      <c r="P84" s="361">
        <v>44.207544358611713</v>
      </c>
      <c r="Q84" s="361">
        <v>185.24787691360976</v>
      </c>
      <c r="R84" s="361">
        <v>12.485508913370875</v>
      </c>
      <c r="S84" s="361">
        <v>118.92128965027622</v>
      </c>
      <c r="T84" s="360">
        <v>1.9769669327639496E-2</v>
      </c>
      <c r="U84" s="360">
        <v>0.10426588483661711</v>
      </c>
      <c r="V84" s="360">
        <v>9.5336608359214162E-2</v>
      </c>
      <c r="W84" s="360">
        <v>4.1473461014491111</v>
      </c>
      <c r="X84" s="360">
        <v>-5.6416708432936453E-2</v>
      </c>
      <c r="Y84" s="360">
        <v>3.1733080923682742E-3</v>
      </c>
      <c r="Z84" s="360">
        <v>3.1733080923682655E-3</v>
      </c>
      <c r="AA84" s="362">
        <v>4.7170308121622366E-2</v>
      </c>
    </row>
    <row r="85" spans="1:27" s="320" customFormat="1">
      <c r="A85" s="359" t="s">
        <v>589</v>
      </c>
      <c r="B85" s="144">
        <v>1478</v>
      </c>
      <c r="C85" s="360">
        <v>0.14366317819148941</v>
      </c>
      <c r="D85" s="360">
        <v>0.19819486778469864</v>
      </c>
      <c r="E85" s="360">
        <v>0.19306860147523508</v>
      </c>
      <c r="F85" s="360">
        <v>0.15879470254168898</v>
      </c>
      <c r="G85" s="361">
        <v>1.0613308954516849</v>
      </c>
      <c r="H85" s="361">
        <v>1.0751764312841539</v>
      </c>
      <c r="I85" s="360">
        <v>7.1230162441967254E-2</v>
      </c>
      <c r="J85" s="360">
        <v>0.40586043767737451</v>
      </c>
      <c r="K85" s="360">
        <v>3.9480000000000001E-2</v>
      </c>
      <c r="L85" s="360">
        <v>5.9969594038213246E-2</v>
      </c>
      <c r="M85" s="360">
        <v>6.8707464321347292E-2</v>
      </c>
      <c r="N85" s="361">
        <v>0.97572054685946008</v>
      </c>
      <c r="O85" s="361">
        <v>10.192194994552144</v>
      </c>
      <c r="P85" s="361">
        <v>30.915777527337742</v>
      </c>
      <c r="Q85" s="361">
        <v>44.660912682970327</v>
      </c>
      <c r="R85" s="361">
        <v>11.121994295690284</v>
      </c>
      <c r="S85" s="361">
        <v>187.92052246866453</v>
      </c>
      <c r="T85" s="360">
        <v>0.13524265747327346</v>
      </c>
      <c r="U85" s="360">
        <v>5.649354007628566E-2</v>
      </c>
      <c r="V85" s="360">
        <v>5.9872757753192049E-2</v>
      </c>
      <c r="W85" s="360">
        <v>0.43792853888115507</v>
      </c>
      <c r="X85" s="360">
        <v>0.20372488699604252</v>
      </c>
      <c r="Y85" s="360">
        <v>0.33252734321217636</v>
      </c>
      <c r="Z85" s="360">
        <v>0.33252734321217636</v>
      </c>
      <c r="AA85" s="362">
        <v>0.21440565747924001</v>
      </c>
    </row>
    <row r="86" spans="1:27" s="320" customFormat="1">
      <c r="A86" s="359" t="s">
        <v>590</v>
      </c>
      <c r="B86" s="144">
        <v>718</v>
      </c>
      <c r="C86" s="360">
        <v>5.7176514598540125E-2</v>
      </c>
      <c r="D86" s="360">
        <v>4.4113221112797744E-2</v>
      </c>
      <c r="E86" s="360">
        <v>4.5429110101624433E-2</v>
      </c>
      <c r="F86" s="360">
        <v>0.2527171290774104</v>
      </c>
      <c r="G86" s="361">
        <v>0.93312499018839501</v>
      </c>
      <c r="H86" s="361">
        <v>1.1722376504299339</v>
      </c>
      <c r="I86" s="360">
        <v>7.6820888664764192E-2</v>
      </c>
      <c r="J86" s="360">
        <v>0.30402847090654683</v>
      </c>
      <c r="K86" s="360">
        <v>3.5299999999999998E-2</v>
      </c>
      <c r="L86" s="360">
        <v>0.362697328656645</v>
      </c>
      <c r="M86" s="360">
        <v>5.8415892999781505E-2</v>
      </c>
      <c r="N86" s="361">
        <v>1.144437849412679</v>
      </c>
      <c r="O86" s="361">
        <v>0.9879917832686349</v>
      </c>
      <c r="P86" s="361">
        <v>8.9570970344041889</v>
      </c>
      <c r="Q86" s="361">
        <v>21.063452122371071</v>
      </c>
      <c r="R86" s="361">
        <v>1.1867896318072497</v>
      </c>
      <c r="S86" s="361">
        <v>59.313619628286148</v>
      </c>
      <c r="T86" s="360">
        <v>0.14070318472506455</v>
      </c>
      <c r="U86" s="360">
        <v>6.2166447846835067E-2</v>
      </c>
      <c r="V86" s="360">
        <v>3.2149902021539091E-2</v>
      </c>
      <c r="W86" s="360">
        <v>0.50370635756311943</v>
      </c>
      <c r="X86" s="360">
        <v>2.4359119063152818E-2</v>
      </c>
      <c r="Y86" s="360">
        <v>1.540478737936398</v>
      </c>
      <c r="Z86" s="360">
        <v>1.540478737936398</v>
      </c>
      <c r="AA86" s="362">
        <v>4.524112420959029E-2</v>
      </c>
    </row>
    <row r="87" spans="1:27" s="320" customFormat="1">
      <c r="A87" s="359" t="s">
        <v>591</v>
      </c>
      <c r="B87" s="144">
        <v>104</v>
      </c>
      <c r="C87" s="360">
        <v>1.129712328767123E-2</v>
      </c>
      <c r="D87" s="360">
        <v>0.14172166323860358</v>
      </c>
      <c r="E87" s="360">
        <v>8.5789505863004989E-2</v>
      </c>
      <c r="F87" s="360">
        <v>0.32416020594380718</v>
      </c>
      <c r="G87" s="361">
        <v>0.63042269245404914</v>
      </c>
      <c r="H87" s="361">
        <v>0.8717996947672737</v>
      </c>
      <c r="I87" s="360">
        <v>5.9515662418594961E-2</v>
      </c>
      <c r="J87" s="360">
        <v>0.26769007948317591</v>
      </c>
      <c r="K87" s="360">
        <v>3.5299999999999998E-2</v>
      </c>
      <c r="L87" s="360">
        <v>0.40088578105945444</v>
      </c>
      <c r="M87" s="360">
        <v>4.6110221328987955E-2</v>
      </c>
      <c r="N87" s="361">
        <v>0.73614874198061131</v>
      </c>
      <c r="O87" s="361">
        <v>2.2874208960226659</v>
      </c>
      <c r="P87" s="361">
        <v>6.9473535485504643</v>
      </c>
      <c r="Q87" s="361">
        <v>16.013579042440426</v>
      </c>
      <c r="R87" s="361">
        <v>1.5538168437458335</v>
      </c>
      <c r="S87" s="361">
        <v>46.652160068964285</v>
      </c>
      <c r="T87" s="360">
        <v>-6.548012195076866E-2</v>
      </c>
      <c r="U87" s="360">
        <v>0.11574632183757574</v>
      </c>
      <c r="V87" s="360">
        <v>-4.3822838719481012E-2</v>
      </c>
      <c r="W87" s="360">
        <v>-0.22911111777139614</v>
      </c>
      <c r="X87" s="360">
        <v>8.1864539936910882E-2</v>
      </c>
      <c r="Y87" s="360">
        <v>0.77554753199896864</v>
      </c>
      <c r="Z87" s="360">
        <v>0.77554753199896864</v>
      </c>
      <c r="AA87" s="362">
        <v>0.14067588103968898</v>
      </c>
    </row>
    <row r="88" spans="1:27" s="320" customFormat="1">
      <c r="A88" s="359" t="s">
        <v>592</v>
      </c>
      <c r="B88" s="144">
        <v>482</v>
      </c>
      <c r="C88" s="360">
        <v>8.7316576576576613E-2</v>
      </c>
      <c r="D88" s="360">
        <v>0.10811698860678298</v>
      </c>
      <c r="E88" s="360">
        <v>0.12493117439397157</v>
      </c>
      <c r="F88" s="360">
        <v>0.19453377106949057</v>
      </c>
      <c r="G88" s="361">
        <v>1.0886826127954905</v>
      </c>
      <c r="H88" s="361">
        <v>1.1027535028105426</v>
      </c>
      <c r="I88" s="360">
        <v>7.2818601761887258E-2</v>
      </c>
      <c r="J88" s="360">
        <v>0.34267670226199187</v>
      </c>
      <c r="K88" s="360">
        <v>3.5299999999999998E-2</v>
      </c>
      <c r="L88" s="360">
        <v>0.12662594500512964</v>
      </c>
      <c r="M88" s="360">
        <v>6.6899789570643797E-2</v>
      </c>
      <c r="N88" s="361">
        <v>1.2140094925293565</v>
      </c>
      <c r="O88" s="361">
        <v>2.5246877752793999</v>
      </c>
      <c r="P88" s="361">
        <v>15.546740875831969</v>
      </c>
      <c r="Q88" s="361">
        <v>22.163962406463337</v>
      </c>
      <c r="R88" s="361">
        <v>3.6820040182671403</v>
      </c>
      <c r="S88" s="361">
        <v>105.51387671388321</v>
      </c>
      <c r="T88" s="360">
        <v>0.21751505575496946</v>
      </c>
      <c r="U88" s="360">
        <v>3.5460765672045792E-2</v>
      </c>
      <c r="V88" s="360">
        <v>2.6551918368723348E-2</v>
      </c>
      <c r="W88" s="360">
        <v>0.28776759230536864</v>
      </c>
      <c r="X88" s="360">
        <v>0.10415871121882829</v>
      </c>
      <c r="Y88" s="360">
        <v>0.61549183382473593</v>
      </c>
      <c r="Z88" s="360">
        <v>0.61549183382473593</v>
      </c>
      <c r="AA88" s="362">
        <v>0.11182273432588506</v>
      </c>
    </row>
    <row r="89" spans="1:27" s="320" customFormat="1">
      <c r="A89" s="359" t="s">
        <v>593</v>
      </c>
      <c r="B89" s="144">
        <v>315</v>
      </c>
      <c r="C89" s="360">
        <v>9.9894976525821647E-2</v>
      </c>
      <c r="D89" s="360">
        <v>0.15080547353352663</v>
      </c>
      <c r="E89" s="360">
        <v>0.10274122736190537</v>
      </c>
      <c r="F89" s="360">
        <v>0.220952576674282</v>
      </c>
      <c r="G89" s="361">
        <v>0.51180783534925478</v>
      </c>
      <c r="H89" s="361">
        <v>0.7840792147688006</v>
      </c>
      <c r="I89" s="360">
        <v>5.446296277068291E-2</v>
      </c>
      <c r="J89" s="360">
        <v>0.29193877430611376</v>
      </c>
      <c r="K89" s="360">
        <v>3.5299999999999998E-2</v>
      </c>
      <c r="L89" s="360">
        <v>0.45010777901125387</v>
      </c>
      <c r="M89" s="360">
        <v>4.168581951695137E-2</v>
      </c>
      <c r="N89" s="361">
        <v>0.79025007692740246</v>
      </c>
      <c r="O89" s="361">
        <v>2.1599897266667432</v>
      </c>
      <c r="P89" s="361">
        <v>6.7947524926658938</v>
      </c>
      <c r="Q89" s="361">
        <v>14.388148270140736</v>
      </c>
      <c r="R89" s="361">
        <v>1.4762161132156635</v>
      </c>
      <c r="S89" s="361">
        <v>58.998804531458738</v>
      </c>
      <c r="T89" s="360">
        <v>2.265523762169849E-2</v>
      </c>
      <c r="U89" s="360">
        <v>0.13982079153583804</v>
      </c>
      <c r="V89" s="360">
        <v>-3.3231942792453117E-2</v>
      </c>
      <c r="W89" s="360">
        <v>-0.22878766696941064</v>
      </c>
      <c r="X89" s="360">
        <v>8.7788692896565129E-2</v>
      </c>
      <c r="Y89" s="360">
        <v>0.65617524920706727</v>
      </c>
      <c r="Z89" s="360">
        <v>0.65617524920706727</v>
      </c>
      <c r="AA89" s="362">
        <v>0.14947113889296235</v>
      </c>
    </row>
    <row r="90" spans="1:27" s="320" customFormat="1">
      <c r="A90" s="359" t="s">
        <v>594</v>
      </c>
      <c r="B90" s="144">
        <v>57</v>
      </c>
      <c r="C90" s="360">
        <v>0.11853499999999999</v>
      </c>
      <c r="D90" s="360">
        <v>0.32805054543644013</v>
      </c>
      <c r="E90" s="360">
        <v>0.18583126680255094</v>
      </c>
      <c r="F90" s="360">
        <v>0.28830851573726501</v>
      </c>
      <c r="G90" s="361">
        <v>0.55103835870694917</v>
      </c>
      <c r="H90" s="361">
        <v>0.65023282639148672</v>
      </c>
      <c r="I90" s="360">
        <v>4.6753410800149636E-2</v>
      </c>
      <c r="J90" s="360">
        <v>0.24629626930957138</v>
      </c>
      <c r="K90" s="360">
        <v>2.8699999999999996E-2</v>
      </c>
      <c r="L90" s="360">
        <v>0.23956091766014292</v>
      </c>
      <c r="M90" s="360">
        <v>4.0631977556552366E-2</v>
      </c>
      <c r="N90" s="361">
        <v>0.67852160074091672</v>
      </c>
      <c r="O90" s="361">
        <v>3.8743720796808714</v>
      </c>
      <c r="P90" s="361">
        <v>10.354096600910401</v>
      </c>
      <c r="Q90" s="361">
        <v>11.76634269212936</v>
      </c>
      <c r="R90" s="361">
        <v>3.5809471082775559</v>
      </c>
      <c r="S90" s="361">
        <v>39.887430885527841</v>
      </c>
      <c r="T90" s="360">
        <v>0.17485574794503045</v>
      </c>
      <c r="U90" s="360">
        <v>2.7278386696962541E-2</v>
      </c>
      <c r="V90" s="360">
        <v>-3.4168863424045765E-6</v>
      </c>
      <c r="W90" s="360">
        <v>-8.7365961302827755E-2</v>
      </c>
      <c r="X90" s="360">
        <v>0.19351367033332903</v>
      </c>
      <c r="Y90" s="360">
        <v>1.0588700078017717</v>
      </c>
      <c r="Z90" s="360">
        <v>1.0588700078017717</v>
      </c>
      <c r="AA90" s="362">
        <v>0.32910685241754273</v>
      </c>
    </row>
    <row r="91" spans="1:27" s="320" customFormat="1">
      <c r="A91" s="359" t="s">
        <v>595</v>
      </c>
      <c r="B91" s="144">
        <v>284</v>
      </c>
      <c r="C91" s="360">
        <v>5.6396546391752567E-2</v>
      </c>
      <c r="D91" s="360">
        <v>5.8872318182288323E-2</v>
      </c>
      <c r="E91" s="360">
        <v>7.7662801275198992E-2</v>
      </c>
      <c r="F91" s="360">
        <v>0.23013243386389859</v>
      </c>
      <c r="G91" s="361">
        <v>0.76714444453514952</v>
      </c>
      <c r="H91" s="361">
        <v>0.94596717969456179</v>
      </c>
      <c r="I91" s="360">
        <v>6.378770955040676E-2</v>
      </c>
      <c r="J91" s="360">
        <v>0.26018393852243621</v>
      </c>
      <c r="K91" s="360">
        <v>3.5299999999999998E-2</v>
      </c>
      <c r="L91" s="360">
        <v>0.31488860718429634</v>
      </c>
      <c r="M91" s="360">
        <v>5.1912756493287242E-2</v>
      </c>
      <c r="N91" s="361">
        <v>1.5498880823873908</v>
      </c>
      <c r="O91" s="361">
        <v>1.5288367575956143</v>
      </c>
      <c r="P91" s="361">
        <v>13.195020004061851</v>
      </c>
      <c r="Q91" s="361">
        <v>25.126450081239827</v>
      </c>
      <c r="R91" s="361">
        <v>2.9408871100133194</v>
      </c>
      <c r="S91" s="361">
        <v>37.6671734602049</v>
      </c>
      <c r="T91" s="360">
        <v>3.9617742483176108E-2</v>
      </c>
      <c r="U91" s="360">
        <v>4.6650363679116909E-2</v>
      </c>
      <c r="V91" s="360">
        <v>6.8007004896465011E-3</v>
      </c>
      <c r="W91" s="360">
        <v>0.21493585493956563</v>
      </c>
      <c r="X91" s="360">
        <v>8.2640625012017313E-2</v>
      </c>
      <c r="Y91" s="360">
        <v>0.79535944335689179</v>
      </c>
      <c r="Z91" s="360">
        <v>0.79535944335689179</v>
      </c>
      <c r="AA91" s="362">
        <v>6.0324599229879899E-2</v>
      </c>
    </row>
    <row r="92" spans="1:27" s="320" customFormat="1">
      <c r="A92" s="359" t="s">
        <v>596</v>
      </c>
      <c r="B92" s="144">
        <v>53</v>
      </c>
      <c r="C92" s="360">
        <v>1.7565999999999998E-2</v>
      </c>
      <c r="D92" s="360">
        <v>0.15267045457435474</v>
      </c>
      <c r="E92" s="360">
        <v>5.2393215951068925E-2</v>
      </c>
      <c r="F92" s="360">
        <v>0.23922631739933373</v>
      </c>
      <c r="G92" s="361">
        <v>0.6190910706898799</v>
      </c>
      <c r="H92" s="361">
        <v>0.78150287787785555</v>
      </c>
      <c r="I92" s="360">
        <v>5.4314565765764475E-2</v>
      </c>
      <c r="J92" s="360">
        <v>0.1728152690932219</v>
      </c>
      <c r="K92" s="360">
        <v>2.8699999999999996E-2</v>
      </c>
      <c r="L92" s="360">
        <v>0.29206131008352504</v>
      </c>
      <c r="M92" s="360">
        <v>4.4643283827672214E-2</v>
      </c>
      <c r="N92" s="361">
        <v>0.39891599725424676</v>
      </c>
      <c r="O92" s="361">
        <v>4.8317987535774689</v>
      </c>
      <c r="P92" s="361">
        <v>17.086253630460416</v>
      </c>
      <c r="Q92" s="361">
        <v>31.013071906172559</v>
      </c>
      <c r="R92" s="361">
        <v>2.4811895472515757</v>
      </c>
      <c r="S92" s="361">
        <v>56.828891399033168</v>
      </c>
      <c r="T92" s="360">
        <v>7.9908201108221263E-2</v>
      </c>
      <c r="U92" s="360">
        <v>0.1950041401195689</v>
      </c>
      <c r="V92" s="360">
        <v>0.12715356895785646</v>
      </c>
      <c r="W92" s="360">
        <v>1.1209397415275466</v>
      </c>
      <c r="X92" s="360">
        <v>5.6555011931800118E-2</v>
      </c>
      <c r="Y92" s="360">
        <v>0.78079914545679252</v>
      </c>
      <c r="Z92" s="360">
        <v>0.78079914545679252</v>
      </c>
      <c r="AA92" s="362">
        <v>0.156215101707636</v>
      </c>
    </row>
    <row r="93" spans="1:27" s="320" customFormat="1">
      <c r="A93" s="359" t="s">
        <v>597</v>
      </c>
      <c r="B93" s="144">
        <v>217</v>
      </c>
      <c r="C93" s="360">
        <v>2.5366875000000001E-2</v>
      </c>
      <c r="D93" s="360">
        <v>1.4466648377545644E-2</v>
      </c>
      <c r="E93" s="360">
        <v>4.4646285184744431E-3</v>
      </c>
      <c r="F93" s="360">
        <v>0.27603256105089607</v>
      </c>
      <c r="G93" s="361">
        <v>0.80636891659674204</v>
      </c>
      <c r="H93" s="361">
        <v>1.0539104624207907</v>
      </c>
      <c r="I93" s="360">
        <v>7.0005242635437545E-2</v>
      </c>
      <c r="J93" s="360">
        <v>0.29382378116453434</v>
      </c>
      <c r="K93" s="360">
        <v>3.5299999999999998E-2</v>
      </c>
      <c r="L93" s="360">
        <v>0.35435394176548768</v>
      </c>
      <c r="M93" s="360">
        <v>5.443878132773132E-2</v>
      </c>
      <c r="N93" s="361">
        <v>0.99510006022623865</v>
      </c>
      <c r="O93" s="361">
        <v>1.7437963135244796</v>
      </c>
      <c r="P93" s="361">
        <v>10.053075459267033</v>
      </c>
      <c r="Q93" s="361">
        <v>68.181750035862166</v>
      </c>
      <c r="R93" s="361">
        <v>2.675536384079602</v>
      </c>
      <c r="S93" s="361">
        <v>35.794827890174183</v>
      </c>
      <c r="T93" s="360">
        <v>5.945265168327072E-2</v>
      </c>
      <c r="U93" s="360">
        <v>2.4213947704161819E-2</v>
      </c>
      <c r="V93" s="360">
        <v>-2.7840222120947451E-2</v>
      </c>
      <c r="W93" s="360">
        <v>-7.2677913814090056</v>
      </c>
      <c r="X93" s="360">
        <v>-5.7580568440949581E-2</v>
      </c>
      <c r="Y93" s="360">
        <v>4.6699694026444841E-3</v>
      </c>
      <c r="Z93" s="360">
        <v>4.6699694026445249E-3</v>
      </c>
      <c r="AA93" s="362">
        <v>7.2778367719874186E-3</v>
      </c>
    </row>
    <row r="94" spans="1:27" s="320" customFormat="1">
      <c r="A94" s="359" t="s">
        <v>598</v>
      </c>
      <c r="B94" s="144">
        <v>53</v>
      </c>
      <c r="C94" s="360">
        <v>2.5761599999999999E-2</v>
      </c>
      <c r="D94" s="360">
        <v>0.11862805381356314</v>
      </c>
      <c r="E94" s="360">
        <v>6.6506528459300204E-2</v>
      </c>
      <c r="F94" s="360">
        <v>0.23325204143923281</v>
      </c>
      <c r="G94" s="361">
        <v>0.48803783479430257</v>
      </c>
      <c r="H94" s="361">
        <v>0.76316482748157788</v>
      </c>
      <c r="I94" s="360">
        <v>5.3258294062938888E-2</v>
      </c>
      <c r="J94" s="360">
        <v>0.17729738301653211</v>
      </c>
      <c r="K94" s="360">
        <v>2.8699999999999996E-2</v>
      </c>
      <c r="L94" s="360">
        <v>0.4637390551336899</v>
      </c>
      <c r="M94" s="360">
        <v>3.8391931044941666E-2</v>
      </c>
      <c r="N94" s="361">
        <v>0.69591112458487558</v>
      </c>
      <c r="O94" s="361">
        <v>2.3787055190695972</v>
      </c>
      <c r="P94" s="361">
        <v>10.758421798603603</v>
      </c>
      <c r="Q94" s="361">
        <v>19.002956607631102</v>
      </c>
      <c r="R94" s="361">
        <v>1.6685151193349903</v>
      </c>
      <c r="S94" s="361">
        <v>37.333450844749059</v>
      </c>
      <c r="T94" s="360">
        <v>-1.2827272751673835E-2</v>
      </c>
      <c r="U94" s="360">
        <v>0.15369567376360188</v>
      </c>
      <c r="V94" s="360">
        <v>0.10161823774842545</v>
      </c>
      <c r="W94" s="360">
        <v>1.0796981588532988</v>
      </c>
      <c r="X94" s="360">
        <v>5.485150855276108E-2</v>
      </c>
      <c r="Y94" s="360">
        <v>1.222793064848565</v>
      </c>
      <c r="Z94" s="360">
        <v>1.222793064848565</v>
      </c>
      <c r="AA94" s="362">
        <v>0.11793061223035635</v>
      </c>
    </row>
    <row r="95" spans="1:27" s="320" customFormat="1">
      <c r="A95" s="359" t="s">
        <v>599</v>
      </c>
      <c r="B95" s="144">
        <v>104</v>
      </c>
      <c r="C95" s="360">
        <v>8.4436849315068535E-2</v>
      </c>
      <c r="D95" s="360">
        <v>0.26786051215746653</v>
      </c>
      <c r="E95" s="360">
        <v>7.271210049744356E-2</v>
      </c>
      <c r="F95" s="360">
        <v>0.26535771507304012</v>
      </c>
      <c r="G95" s="361">
        <v>0.58892549951257722</v>
      </c>
      <c r="H95" s="361">
        <v>0.82797819959367558</v>
      </c>
      <c r="I95" s="360">
        <v>5.6991544296595711E-2</v>
      </c>
      <c r="J95" s="360">
        <v>0.27389365083788414</v>
      </c>
      <c r="K95" s="360">
        <v>3.5299999999999998E-2</v>
      </c>
      <c r="L95" s="360">
        <v>0.40893948453987256</v>
      </c>
      <c r="M95" s="360">
        <v>4.4349002531019567E-2</v>
      </c>
      <c r="N95" s="361">
        <v>0.32461815071785372</v>
      </c>
      <c r="O95" s="361">
        <v>5.0103868690353952</v>
      </c>
      <c r="P95" s="361">
        <v>12.783878973416556</v>
      </c>
      <c r="Q95" s="361">
        <v>18.444585331925889</v>
      </c>
      <c r="R95" s="361">
        <v>1.7051069929463623</v>
      </c>
      <c r="S95" s="361">
        <v>31.573496920080274</v>
      </c>
      <c r="T95" s="360">
        <v>5.2921794398684982E-2</v>
      </c>
      <c r="U95" s="360">
        <v>0.27089399908867012</v>
      </c>
      <c r="V95" s="360">
        <v>0.27534918016672044</v>
      </c>
      <c r="W95" s="360">
        <v>1.7257929849519456</v>
      </c>
      <c r="X95" s="360">
        <v>6.2991106896639226E-2</v>
      </c>
      <c r="Y95" s="360">
        <v>0.56829411409733799</v>
      </c>
      <c r="Z95" s="360">
        <v>0.75321158180974801</v>
      </c>
      <c r="AA95" s="362">
        <v>0.26793572070173671</v>
      </c>
    </row>
    <row r="96" spans="1:27" ht="14">
      <c r="A96" s="359" t="s">
        <v>763</v>
      </c>
      <c r="B96" s="144">
        <v>46580</v>
      </c>
      <c r="C96" s="360">
        <v>6.6170087846252071E-2</v>
      </c>
      <c r="D96" s="360">
        <v>8.0037493656325343E-2</v>
      </c>
      <c r="E96" s="360">
        <v>4.9432363157951922E-2</v>
      </c>
      <c r="F96" s="360">
        <v>0.22116104647469551</v>
      </c>
      <c r="G96" s="361">
        <v>0.79177925611506728</v>
      </c>
      <c r="H96" s="361">
        <v>1.0126516437334008</v>
      </c>
      <c r="I96" s="360">
        <v>6.7628734679043886E-2</v>
      </c>
      <c r="J96" s="360">
        <v>0.32356760879937879</v>
      </c>
      <c r="K96" s="360">
        <v>3.5299999999999998E-2</v>
      </c>
      <c r="L96" s="360">
        <v>0.38684090102653307</v>
      </c>
      <c r="M96" s="360">
        <v>5.1554479908185194E-2</v>
      </c>
      <c r="N96" s="361">
        <v>0.69057055678463408</v>
      </c>
      <c r="O96" s="361">
        <v>2.6638950424577574</v>
      </c>
      <c r="P96" s="361">
        <v>15.836063112747448</v>
      </c>
      <c r="Q96" s="361">
        <v>27.989069142863478</v>
      </c>
      <c r="R96" s="361">
        <v>2.2098733643239052</v>
      </c>
      <c r="S96" s="361">
        <v>93.222443188777547</v>
      </c>
      <c r="T96" s="360">
        <v>-1.3738824402483969</v>
      </c>
      <c r="U96" s="360">
        <v>5.8774710740107317E-2</v>
      </c>
      <c r="V96" s="360">
        <v>2.7226634249102089E-2</v>
      </c>
      <c r="W96" s="360">
        <v>0.47931772232216008</v>
      </c>
      <c r="X96" s="360">
        <v>6.2991106896639226E-2</v>
      </c>
      <c r="Y96" s="360">
        <v>0.75321158180974801</v>
      </c>
      <c r="Z96" s="360">
        <v>0.75321158180974801</v>
      </c>
      <c r="AA96" s="362">
        <v>8.0938222464465248E-2</v>
      </c>
    </row>
    <row r="97" spans="1:27" ht="14">
      <c r="A97" s="359" t="s">
        <v>737</v>
      </c>
      <c r="B97" s="144">
        <v>41623</v>
      </c>
      <c r="C97" s="360">
        <v>6.414068617439965E-2</v>
      </c>
      <c r="D97" s="360">
        <v>8.3062427738524375E-2</v>
      </c>
      <c r="E97" s="360">
        <v>7.723521333629764E-2</v>
      </c>
      <c r="F97" s="360">
        <v>0.22888604684744512</v>
      </c>
      <c r="G97" s="361">
        <v>0.89413248438297899</v>
      </c>
      <c r="H97" s="361">
        <v>1.0368162847389348</v>
      </c>
      <c r="I97" s="360">
        <v>6.9020618000962639E-2</v>
      </c>
      <c r="J97" s="360">
        <v>0.33075842494807123</v>
      </c>
      <c r="K97" s="360">
        <v>3.5299999999999998E-2</v>
      </c>
      <c r="L97" s="360">
        <v>0.24824912057878529</v>
      </c>
      <c r="M97" s="360">
        <v>5.8359681656035049E-2</v>
      </c>
      <c r="N97" s="361">
        <v>1.0351331591251673</v>
      </c>
      <c r="O97" s="361">
        <v>2.3051579927284229</v>
      </c>
      <c r="P97" s="361">
        <v>14.331251277047636</v>
      </c>
      <c r="Q97" s="361">
        <v>26.063060552182353</v>
      </c>
      <c r="R97" s="361">
        <v>2.7117825747567825</v>
      </c>
      <c r="S97" s="361">
        <v>93.930772024658637</v>
      </c>
      <c r="T97" s="360">
        <v>0.11581483197696948</v>
      </c>
      <c r="U97" s="360">
        <v>6.3700606959858741E-2</v>
      </c>
      <c r="V97" s="360">
        <v>2.7532999205641173E-2</v>
      </c>
      <c r="W97" s="360">
        <v>0.46138853290161297</v>
      </c>
      <c r="X97" s="360">
        <v>5.5370101051144843E-2</v>
      </c>
      <c r="Y97" s="360">
        <v>0.95725153342517866</v>
      </c>
      <c r="Z97" s="360">
        <v>0.95725153342517866</v>
      </c>
      <c r="AA97" s="362">
        <v>8.4111429183896011E-2</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0"/>
  <sheetViews>
    <sheetView workbookViewId="0">
      <selection activeCell="E40" sqref="E40"/>
    </sheetView>
  </sheetViews>
  <sheetFormatPr baseColWidth="10" defaultRowHeight="13"/>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395</v>
      </c>
      <c r="C1" s="161" t="s">
        <v>427</v>
      </c>
      <c r="D1" s="161" t="s">
        <v>428</v>
      </c>
      <c r="E1" s="200" t="s">
        <v>396</v>
      </c>
    </row>
    <row r="2" spans="1:5" ht="14">
      <c r="A2" s="60" t="s">
        <v>11</v>
      </c>
      <c r="B2" s="201">
        <v>15794.34</v>
      </c>
      <c r="C2" s="201">
        <v>7608.13</v>
      </c>
      <c r="D2" s="201">
        <v>9444.11</v>
      </c>
      <c r="E2" s="202">
        <f>B2-C2+D2</f>
        <v>17630.32</v>
      </c>
    </row>
    <row r="3" spans="1:5" ht="14">
      <c r="A3" s="60" t="s">
        <v>739</v>
      </c>
      <c r="B3" s="201">
        <v>1221.81</v>
      </c>
      <c r="C3" s="201">
        <v>581.41</v>
      </c>
      <c r="D3" s="201">
        <v>756</v>
      </c>
      <c r="E3" s="202">
        <f>B3-C3+D3</f>
        <v>1396.4</v>
      </c>
    </row>
    <row r="4" spans="1:5" ht="14">
      <c r="A4" s="60" t="s">
        <v>29</v>
      </c>
      <c r="B4" s="201">
        <v>1605.23</v>
      </c>
      <c r="C4" s="201">
        <v>908.79</v>
      </c>
      <c r="D4" s="201">
        <v>1165.5</v>
      </c>
      <c r="E4" s="202">
        <f>B4-C4+D4</f>
        <v>1861.94</v>
      </c>
    </row>
    <row r="5" spans="1:5" ht="14">
      <c r="A5" s="60" t="s">
        <v>439</v>
      </c>
      <c r="B5" s="201">
        <v>420.49</v>
      </c>
      <c r="C5" s="201">
        <v>182.82</v>
      </c>
      <c r="D5" s="201">
        <v>287.56</v>
      </c>
      <c r="E5" s="202">
        <f>B5-C5+D5</f>
        <v>525.23</v>
      </c>
    </row>
    <row r="6" spans="1:5" ht="14">
      <c r="A6" s="60" t="s">
        <v>30</v>
      </c>
      <c r="B6" s="201">
        <v>5238.7700000000004</v>
      </c>
      <c r="C6" s="201"/>
      <c r="D6" s="201">
        <v>6105.55</v>
      </c>
      <c r="E6" s="202"/>
    </row>
    <row r="7" spans="1:5" ht="14">
      <c r="A7" s="60" t="s">
        <v>31</v>
      </c>
      <c r="B7" s="201">
        <v>10360</v>
      </c>
      <c r="C7" s="201"/>
      <c r="D7" s="201">
        <v>12594.14</v>
      </c>
      <c r="E7" s="202"/>
    </row>
    <row r="8" spans="1:5" ht="14">
      <c r="A8" s="60" t="s">
        <v>244</v>
      </c>
      <c r="B8" s="201"/>
      <c r="C8" s="201"/>
      <c r="D8" s="201"/>
      <c r="E8" s="202"/>
    </row>
    <row r="9" spans="1:5" ht="14">
      <c r="A9" s="60" t="s">
        <v>245</v>
      </c>
      <c r="B9" s="201">
        <v>3794.48</v>
      </c>
      <c r="C9" s="201"/>
      <c r="D9" s="201">
        <v>5004.25</v>
      </c>
      <c r="E9" s="202"/>
    </row>
    <row r="10" spans="1:5" ht="14">
      <c r="A10" s="60" t="s">
        <v>387</v>
      </c>
      <c r="B10" s="201">
        <v>0</v>
      </c>
      <c r="C10" s="201"/>
      <c r="D10" s="201">
        <v>0</v>
      </c>
      <c r="E10" s="202"/>
    </row>
    <row r="11" spans="1:5" ht="14">
      <c r="A11" s="60" t="s">
        <v>391</v>
      </c>
      <c r="B11" s="201">
        <v>0</v>
      </c>
      <c r="C11" s="201"/>
      <c r="D11" s="201">
        <v>0</v>
      </c>
      <c r="E11" s="202"/>
    </row>
    <row r="12" spans="1:5" ht="14">
      <c r="A12" s="60" t="s">
        <v>32</v>
      </c>
      <c r="B12" s="201"/>
      <c r="C12" s="201"/>
      <c r="D12" s="201"/>
      <c r="E12" s="202"/>
    </row>
    <row r="13" spans="1:5" ht="14">
      <c r="A13" s="60" t="s">
        <v>33</v>
      </c>
      <c r="B13" s="203"/>
      <c r="C13" s="201"/>
      <c r="D13" s="201"/>
      <c r="E13" s="202"/>
    </row>
    <row r="14" spans="1:5" ht="14">
      <c r="A14" s="60" t="s">
        <v>104</v>
      </c>
      <c r="B14" s="182">
        <f>15885/61372</f>
        <v>0.25883138890699342</v>
      </c>
      <c r="C14" s="182">
        <f>6965/27030</f>
        <v>0.25767665556788755</v>
      </c>
      <c r="D14" s="182">
        <f>3941/23906</f>
        <v>0.16485401154521878</v>
      </c>
      <c r="E14" s="1"/>
    </row>
    <row r="15" spans="1:5" ht="14">
      <c r="A15" s="60" t="s">
        <v>105</v>
      </c>
      <c r="B15" s="161"/>
      <c r="C15" s="161"/>
      <c r="D15" s="161"/>
      <c r="E15" s="1"/>
    </row>
    <row r="16" spans="1:5" s="2" customFormat="1" ht="14">
      <c r="A16" s="225" t="s">
        <v>397</v>
      </c>
      <c r="B16" s="226"/>
      <c r="C16" s="226"/>
      <c r="D16" s="226"/>
      <c r="E16" s="227"/>
    </row>
    <row r="17" spans="1:5" ht="14">
      <c r="A17" s="63" t="s">
        <v>398</v>
      </c>
      <c r="B17" s="327">
        <v>172.47</v>
      </c>
      <c r="C17" s="204"/>
      <c r="D17" s="204" t="s">
        <v>98</v>
      </c>
      <c r="E17" s="205"/>
    </row>
    <row r="18" spans="1:5" ht="14">
      <c r="A18" s="63" t="s">
        <v>399</v>
      </c>
      <c r="B18" s="327">
        <v>139.4</v>
      </c>
      <c r="C18" s="437" t="s">
        <v>659</v>
      </c>
      <c r="D18" s="204" t="s">
        <v>98</v>
      </c>
      <c r="E18" s="205"/>
    </row>
    <row r="19" spans="1:5" ht="14">
      <c r="A19" s="63" t="s">
        <v>400</v>
      </c>
      <c r="B19" s="327">
        <v>145.18</v>
      </c>
      <c r="C19" s="437"/>
      <c r="D19" s="204" t="s">
        <v>98</v>
      </c>
      <c r="E19" s="205"/>
    </row>
    <row r="20" spans="1:5" ht="14">
      <c r="A20" s="63" t="s">
        <v>401</v>
      </c>
      <c r="B20" s="327">
        <v>156.53</v>
      </c>
      <c r="C20" s="437"/>
      <c r="D20" s="204" t="s">
        <v>98</v>
      </c>
      <c r="E20" s="205"/>
    </row>
    <row r="21" spans="1:5" ht="14">
      <c r="A21" s="63" t="s">
        <v>402</v>
      </c>
      <c r="B21" s="327">
        <v>151.19999999999999</v>
      </c>
      <c r="C21" s="437"/>
      <c r="D21" s="204" t="s">
        <v>98</v>
      </c>
      <c r="E21" s="205"/>
    </row>
    <row r="22" spans="1:5" ht="14">
      <c r="A22" s="63" t="s">
        <v>403</v>
      </c>
      <c r="B22" s="326">
        <v>943.63</v>
      </c>
      <c r="C22" s="437"/>
      <c r="D22" s="204" t="s">
        <v>98</v>
      </c>
      <c r="E22" s="205"/>
    </row>
    <row r="23" spans="1:5">
      <c r="B23" s="183"/>
      <c r="C23" s="437"/>
    </row>
    <row r="25" spans="1:5" ht="14">
      <c r="A25" s="63" t="s">
        <v>658</v>
      </c>
      <c r="B25" s="325">
        <v>107</v>
      </c>
    </row>
    <row r="29" spans="1:5">
      <c r="D29" s="201">
        <v>75872</v>
      </c>
    </row>
    <row r="30" spans="1:5">
      <c r="D30" s="201">
        <v>2404</v>
      </c>
    </row>
    <row r="31" spans="1:5">
      <c r="D31" s="201">
        <v>24171</v>
      </c>
    </row>
    <row r="32" spans="1:5">
      <c r="D32" s="201">
        <v>276</v>
      </c>
    </row>
    <row r="36" spans="1:5">
      <c r="A36" t="s">
        <v>740</v>
      </c>
      <c r="B36" s="181">
        <v>630.29</v>
      </c>
      <c r="C36" s="181">
        <v>286.14</v>
      </c>
      <c r="D36" s="181">
        <v>426.61</v>
      </c>
      <c r="E36">
        <f>B36-C36+D36</f>
        <v>770.76</v>
      </c>
    </row>
    <row r="37" spans="1:5">
      <c r="A37" t="s">
        <v>741</v>
      </c>
      <c r="B37" s="181">
        <v>2369.4699999999998</v>
      </c>
      <c r="C37" s="181">
        <v>1128.78</v>
      </c>
      <c r="D37" s="181">
        <v>1219.73</v>
      </c>
      <c r="E37">
        <f>B37-C37+D37</f>
        <v>2460.42</v>
      </c>
    </row>
    <row r="38" spans="1:5">
      <c r="A38" t="s">
        <v>742</v>
      </c>
      <c r="B38" s="181">
        <v>9967.5400000000009</v>
      </c>
      <c r="C38" s="181">
        <v>4703.01</v>
      </c>
      <c r="D38" s="181">
        <v>5876.21</v>
      </c>
      <c r="E38">
        <f>B38-C38+D38</f>
        <v>11140.740000000002</v>
      </c>
    </row>
    <row r="40" spans="1:5">
      <c r="A40" t="s">
        <v>743</v>
      </c>
      <c r="B40" s="181">
        <v>13043</v>
      </c>
      <c r="C40" s="181">
        <v>6020.47</v>
      </c>
      <c r="D40" s="181">
        <v>6322.85</v>
      </c>
      <c r="E40">
        <f>B40-C40+D40</f>
        <v>13345.380000000001</v>
      </c>
    </row>
  </sheetData>
  <mergeCells count="1">
    <mergeCell ref="C18:C23"/>
  </mergeCells>
  <pageMargins left="0.75" right="0.75" top="1" bottom="1" header="0.5" footer="0.5"/>
  <pageSetup orientation="landscape"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3"/>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44" customFormat="1">
      <c r="A1" s="344" t="s">
        <v>240</v>
      </c>
      <c r="B1" s="344" t="s">
        <v>242</v>
      </c>
      <c r="C1" s="344" t="s">
        <v>441</v>
      </c>
      <c r="D1" s="344" t="s">
        <v>449</v>
      </c>
      <c r="E1" s="344" t="s">
        <v>451</v>
      </c>
      <c r="F1" s="344" t="s">
        <v>475</v>
      </c>
      <c r="G1" t="s">
        <v>230</v>
      </c>
    </row>
    <row r="2" spans="1:7">
      <c r="A2" t="s">
        <v>58</v>
      </c>
      <c r="B2" t="s">
        <v>102</v>
      </c>
      <c r="C2" t="s">
        <v>442</v>
      </c>
      <c r="D2" t="s">
        <v>450</v>
      </c>
      <c r="E2">
        <v>1</v>
      </c>
      <c r="F2" t="s">
        <v>450</v>
      </c>
      <c r="G2" t="s">
        <v>470</v>
      </c>
    </row>
    <row r="3" spans="1:7">
      <c r="A3" t="s">
        <v>52</v>
      </c>
      <c r="B3" t="s">
        <v>236</v>
      </c>
      <c r="C3" t="s">
        <v>445</v>
      </c>
      <c r="D3" t="s">
        <v>451</v>
      </c>
      <c r="E3">
        <v>2</v>
      </c>
      <c r="F3" t="s">
        <v>480</v>
      </c>
      <c r="G3" t="s">
        <v>469</v>
      </c>
    </row>
    <row r="4" spans="1:7">
      <c r="C4" t="s">
        <v>443</v>
      </c>
      <c r="D4" t="s">
        <v>452</v>
      </c>
      <c r="F4" t="s">
        <v>481</v>
      </c>
      <c r="G4" t="s">
        <v>468</v>
      </c>
    </row>
    <row r="5" spans="1:7">
      <c r="C5" t="s">
        <v>444</v>
      </c>
      <c r="F5" t="s">
        <v>482</v>
      </c>
      <c r="G5" t="s">
        <v>467</v>
      </c>
    </row>
    <row r="6" spans="1:7">
      <c r="F6" t="s">
        <v>479</v>
      </c>
      <c r="G6" t="s">
        <v>466</v>
      </c>
    </row>
    <row r="7" spans="1:7">
      <c r="G7" t="s">
        <v>465</v>
      </c>
    </row>
    <row r="8" spans="1:7">
      <c r="G8" t="s">
        <v>464</v>
      </c>
    </row>
    <row r="9" spans="1:7">
      <c r="G9" t="s">
        <v>463</v>
      </c>
    </row>
    <row r="10" spans="1:7">
      <c r="G10" t="s">
        <v>462</v>
      </c>
    </row>
    <row r="11" spans="1:7">
      <c r="G11" t="s">
        <v>461</v>
      </c>
    </row>
    <row r="12" spans="1:7">
      <c r="G12" t="s">
        <v>460</v>
      </c>
    </row>
    <row r="13" spans="1:7">
      <c r="G13" t="s">
        <v>459</v>
      </c>
    </row>
    <row r="14" spans="1:7">
      <c r="G14" t="s">
        <v>458</v>
      </c>
    </row>
    <row r="15" spans="1:7">
      <c r="G15" t="s">
        <v>457</v>
      </c>
    </row>
    <row r="16" spans="1:7">
      <c r="G16" t="s">
        <v>456</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abSelected="1" zoomScale="128" zoomScaleNormal="125" workbookViewId="0">
      <selection activeCell="B29" sqref="B29"/>
    </sheetView>
  </sheetViews>
  <sheetFormatPr baseColWidth="10" defaultRowHeight="16"/>
  <cols>
    <col min="1" max="1" width="23" style="47" bestFit="1" customWidth="1"/>
    <col min="2" max="2" width="18" style="47" bestFit="1" customWidth="1"/>
    <col min="3" max="5" width="16.33203125" style="52" bestFit="1" customWidth="1"/>
    <col min="6"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sheet'!B23</f>
        <v>0.12</v>
      </c>
      <c r="D2" s="90">
        <f>'Input sheet'!B25</f>
        <v>0.06</v>
      </c>
      <c r="E2" s="90">
        <f>D2</f>
        <v>0.06</v>
      </c>
      <c r="F2" s="90">
        <f>E2</f>
        <v>0.06</v>
      </c>
      <c r="G2" s="90">
        <f>F2</f>
        <v>0.06</v>
      </c>
      <c r="H2" s="90">
        <f>G2-((G2-$M$2)/5)</f>
        <v>5.1199999999999996E-2</v>
      </c>
      <c r="I2" s="90">
        <f>G2-((G2-$M$2)/5)*2</f>
        <v>4.24E-2</v>
      </c>
      <c r="J2" s="90">
        <f>G2-((G2-$M$2)/5)*3</f>
        <v>3.3600000000000005E-2</v>
      </c>
      <c r="K2" s="90">
        <f>G2-((G2-$M$2)/5)*4</f>
        <v>2.4800000000000003E-2</v>
      </c>
      <c r="L2" s="90">
        <f>G2-((G2-$M$2)/5)*5</f>
        <v>1.6E-2</v>
      </c>
      <c r="M2" s="91">
        <f>IF('Input sheet'!B60="Yes",'Input sheet'!B61,IF('Input sheet'!B57="Yes",'Input sheet'!B58,'Input sheet'!B30))</f>
        <v>1.6E-2</v>
      </c>
    </row>
    <row r="3" spans="1:14" ht="15" customHeight="1">
      <c r="A3" s="45" t="s">
        <v>11</v>
      </c>
      <c r="B3" s="92">
        <f>'Input sheet'!B8</f>
        <v>38121</v>
      </c>
      <c r="C3" s="93">
        <f>B3*(1+C2)</f>
        <v>42695.520000000004</v>
      </c>
      <c r="D3" s="93">
        <f t="shared" ref="D3:L3" si="0">C3*(1+D2)</f>
        <v>45257.251200000006</v>
      </c>
      <c r="E3" s="93">
        <f t="shared" si="0"/>
        <v>47972.686272000006</v>
      </c>
      <c r="F3" s="93">
        <f t="shared" si="0"/>
        <v>50851.047448320009</v>
      </c>
      <c r="G3" s="93">
        <f t="shared" si="0"/>
        <v>53902.110295219209</v>
      </c>
      <c r="H3" s="93">
        <f t="shared" si="0"/>
        <v>56661.898342334425</v>
      </c>
      <c r="I3" s="93">
        <f t="shared" si="0"/>
        <v>59064.362832049403</v>
      </c>
      <c r="J3" s="93">
        <f t="shared" si="0"/>
        <v>61048.925423206267</v>
      </c>
      <c r="K3" s="93">
        <f t="shared" si="0"/>
        <v>62562.938773701775</v>
      </c>
      <c r="L3" s="93">
        <f t="shared" si="0"/>
        <v>63563.945794081003</v>
      </c>
      <c r="M3" s="109">
        <f>L3*(1+M2)</f>
        <v>64580.9689267863</v>
      </c>
    </row>
    <row r="4" spans="1:14" ht="15" customHeight="1">
      <c r="A4" s="45" t="s">
        <v>26</v>
      </c>
      <c r="B4" s="94">
        <f>B5/B3</f>
        <v>0.20926523438524697</v>
      </c>
      <c r="C4" s="90">
        <f>'Input sheet'!B24</f>
        <v>0.2</v>
      </c>
      <c r="D4" s="90">
        <f>IF(D1&gt;'Input sheet'!$B$27,'Input sheet'!$B$26,'Input sheet'!$B$26-(('Input sheet'!$B$26-$C$4)/'Input sheet'!$B$27)*('Input sheet'!$B$27-D1))</f>
        <v>0.188</v>
      </c>
      <c r="E4" s="90">
        <f>IF(E1&gt;'Input sheet'!$B$27,'Input sheet'!$B$26,'Input sheet'!$B$26-(('Input sheet'!$B$26-$C$4)/'Input sheet'!$B$27)*('Input sheet'!$B$27-E1))</f>
        <v>0.18200000000000002</v>
      </c>
      <c r="F4" s="90">
        <f>IF(F1&gt;'Input sheet'!$B$27,'Input sheet'!$B$26,'Input sheet'!$B$26-(('Input sheet'!$B$26-$C$4)/'Input sheet'!$B$27)*('Input sheet'!$B$27-F1))</f>
        <v>0.17600000000000002</v>
      </c>
      <c r="G4" s="90">
        <f>IF(G1&gt;'Input sheet'!$B$27,'Input sheet'!$B$26,'Input sheet'!$B$26-(('Input sheet'!$B$26-$C$4)/'Input sheet'!$B$27)*('Input sheet'!$B$27-G1))</f>
        <v>0.17</v>
      </c>
      <c r="H4" s="90">
        <f>IF(H1&gt;'Input sheet'!$B$27,'Input sheet'!$B$26,'Input sheet'!$B$26-(('Input sheet'!$B$26-$B$4)/'Input sheet'!$B$27)*('Input sheet'!$B$27-H1))</f>
        <v>0.17</v>
      </c>
      <c r="I4" s="90">
        <f>IF(I1&gt;'Input sheet'!$B$27,'Input sheet'!$B$26,'Input sheet'!$B$26-(('Input sheet'!$B$26-$B$4)/'Input sheet'!$B$27)*('Input sheet'!$B$27-I1))</f>
        <v>0.17</v>
      </c>
      <c r="J4" s="90">
        <f>IF(J1&gt;'Input sheet'!$B$27,'Input sheet'!$B$26,'Input sheet'!$B$26-(('Input sheet'!$B$26-$B$4)/'Input sheet'!$B$27)*('Input sheet'!$B$27-J1))</f>
        <v>0.17</v>
      </c>
      <c r="K4" s="90">
        <f>IF(K1&gt;'Input sheet'!$B$27,'Input sheet'!$B$26,'Input sheet'!$B$26-(('Input sheet'!$B$26-$B$4)/'Input sheet'!$B$27)*('Input sheet'!$B$27-K1))</f>
        <v>0.17</v>
      </c>
      <c r="L4" s="90">
        <f>IF(L1&gt;'Input sheet'!$B$27,'Input sheet'!$B$26,'Input sheet'!$B$26-(('Input sheet'!$B$26-$B$4)/'Input sheet'!$B$27)*('Input sheet'!$B$27-L1))</f>
        <v>0.17</v>
      </c>
      <c r="M4" s="91">
        <f>L4</f>
        <v>0.17</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7977.4</v>
      </c>
      <c r="C5" s="93">
        <f t="shared" ref="C5:M5" si="1">C4*C3</f>
        <v>8539.1040000000012</v>
      </c>
      <c r="D5" s="93">
        <f t="shared" si="1"/>
        <v>8508.3632256000019</v>
      </c>
      <c r="E5" s="93">
        <f t="shared" si="1"/>
        <v>8731.0289015040016</v>
      </c>
      <c r="F5" s="93">
        <f t="shared" si="1"/>
        <v>8949.7843509043232</v>
      </c>
      <c r="G5" s="93">
        <f t="shared" si="1"/>
        <v>9163.3587501872662</v>
      </c>
      <c r="H5" s="93">
        <f t="shared" si="1"/>
        <v>9632.522718196853</v>
      </c>
      <c r="I5" s="93">
        <f t="shared" si="1"/>
        <v>10040.941681448399</v>
      </c>
      <c r="J5" s="93">
        <f t="shared" si="1"/>
        <v>10378.317321945065</v>
      </c>
      <c r="K5" s="93">
        <f t="shared" si="1"/>
        <v>10635.699591529303</v>
      </c>
      <c r="L5" s="93">
        <f t="shared" si="1"/>
        <v>10805.870784993771</v>
      </c>
      <c r="M5" s="109">
        <f t="shared" si="1"/>
        <v>10978.764717553671</v>
      </c>
      <c r="N5" s="111">
        <f>M5-B5</f>
        <v>3001.3647175536717</v>
      </c>
    </row>
    <row r="6" spans="1:14" ht="15" customHeight="1">
      <c r="A6" s="45" t="s">
        <v>140</v>
      </c>
      <c r="B6" s="95">
        <f>'Input sheet'!B20</f>
        <v>0.23400000000000001</v>
      </c>
      <c r="C6" s="96">
        <f>B6</f>
        <v>0.23400000000000001</v>
      </c>
      <c r="D6" s="96">
        <f>C6</f>
        <v>0.23400000000000001</v>
      </c>
      <c r="E6" s="96">
        <f>D6</f>
        <v>0.23400000000000001</v>
      </c>
      <c r="F6" s="96">
        <f>E6</f>
        <v>0.23400000000000001</v>
      </c>
      <c r="G6" s="96">
        <f>F6</f>
        <v>0.23400000000000001</v>
      </c>
      <c r="H6" s="96">
        <f>G6+($M$6-$G$6)/5</f>
        <v>0.23720000000000002</v>
      </c>
      <c r="I6" s="96">
        <f>H6+($M$6-$G$6)/5</f>
        <v>0.24040000000000003</v>
      </c>
      <c r="J6" s="96">
        <f>I6+($M$6-$G$6)/5</f>
        <v>0.24360000000000004</v>
      </c>
      <c r="K6" s="96">
        <f>J6+($M$6-$G$6)/5</f>
        <v>0.24680000000000005</v>
      </c>
      <c r="L6" s="96">
        <f>K6+($M$6-$G$6)/5</f>
        <v>0.25000000000000006</v>
      </c>
      <c r="M6" s="96">
        <f>IF('Input sheet'!B52="Yes",'Input sheet'!B20,'Input sheet'!B21)</f>
        <v>0.25</v>
      </c>
    </row>
    <row r="7" spans="1:14" ht="15" customHeight="1">
      <c r="A7" s="45" t="s">
        <v>12</v>
      </c>
      <c r="B7" s="92">
        <f>IF(B5&gt;0,B5*(1-B6),B5)</f>
        <v>6110.6884</v>
      </c>
      <c r="C7" s="93">
        <f>IF(C5&gt;0,IF(C5&lt;B10,C5,C5-(C5-B10)*C6),C5)</f>
        <v>6540.9536640000006</v>
      </c>
      <c r="D7" s="93">
        <f t="shared" ref="D7:L7" si="2">IF(D5&gt;0,IF(D5&lt;C10,D5,D5-(D5-C10)*D6),D5)</f>
        <v>6517.4062308096018</v>
      </c>
      <c r="E7" s="93">
        <f t="shared" si="2"/>
        <v>6687.9681385520653</v>
      </c>
      <c r="F7" s="93">
        <f t="shared" si="2"/>
        <v>6855.5348127927118</v>
      </c>
      <c r="G7" s="93">
        <f t="shared" si="2"/>
        <v>7019.1328026434458</v>
      </c>
      <c r="H7" s="93">
        <f t="shared" si="2"/>
        <v>7347.6883294405598</v>
      </c>
      <c r="I7" s="93">
        <f t="shared" si="2"/>
        <v>7627.0993012282033</v>
      </c>
      <c r="J7" s="93">
        <f t="shared" si="2"/>
        <v>7850.1592223192474</v>
      </c>
      <c r="K7" s="93">
        <f t="shared" si="2"/>
        <v>8010.8089323398708</v>
      </c>
      <c r="L7" s="93">
        <f t="shared" si="2"/>
        <v>8104.4030887453282</v>
      </c>
      <c r="M7" s="93">
        <f>M5*(1-M6)</f>
        <v>8234.0735381652539</v>
      </c>
    </row>
    <row r="8" spans="1:14" ht="15" customHeight="1">
      <c r="A8" s="45" t="s">
        <v>15</v>
      </c>
      <c r="B8" s="92"/>
      <c r="C8" s="93">
        <f t="shared" ref="C8:L8" si="3">(C3-B3)/C38</f>
        <v>2742.4560000000024</v>
      </c>
      <c r="D8" s="93">
        <f t="shared" si="3"/>
        <v>1535.7753600000012</v>
      </c>
      <c r="E8" s="93">
        <f t="shared" si="3"/>
        <v>1627.9218816</v>
      </c>
      <c r="F8" s="93">
        <f t="shared" si="3"/>
        <v>1725.5971944960015</v>
      </c>
      <c r="G8" s="93">
        <f t="shared" si="3"/>
        <v>1829.1330261657599</v>
      </c>
      <c r="H8" s="93">
        <f t="shared" si="3"/>
        <v>1654.5117932677983</v>
      </c>
      <c r="I8" s="93">
        <f t="shared" si="3"/>
        <v>1440.293878834452</v>
      </c>
      <c r="J8" s="93">
        <f t="shared" si="3"/>
        <v>1189.7588349146333</v>
      </c>
      <c r="K8" s="93">
        <f t="shared" si="3"/>
        <v>907.66134963810623</v>
      </c>
      <c r="L8" s="93">
        <f t="shared" si="3"/>
        <v>600.11054910266751</v>
      </c>
      <c r="M8" s="97">
        <f>IF(M2&gt;0,(M2/M40)*M7,0)</f>
        <v>878.30117740429375</v>
      </c>
      <c r="N8" s="111">
        <f>SUM(C8:M8)</f>
        <v>16131.521045423719</v>
      </c>
    </row>
    <row r="9" spans="1:14" ht="15" customHeight="1">
      <c r="A9" s="45" t="s">
        <v>16</v>
      </c>
      <c r="B9" s="92"/>
      <c r="C9" s="93">
        <f t="shared" ref="C9:L9" si="4">C7-C8</f>
        <v>3798.4976639999982</v>
      </c>
      <c r="D9" s="93">
        <f t="shared" si="4"/>
        <v>4981.6308708096003</v>
      </c>
      <c r="E9" s="93">
        <f t="shared" si="4"/>
        <v>5060.0462569520651</v>
      </c>
      <c r="F9" s="93">
        <f t="shared" si="4"/>
        <v>5129.9376182967098</v>
      </c>
      <c r="G9" s="93">
        <f t="shared" si="4"/>
        <v>5189.9997764776854</v>
      </c>
      <c r="H9" s="93">
        <f t="shared" si="4"/>
        <v>5693.1765361727612</v>
      </c>
      <c r="I9" s="93">
        <f t="shared" si="4"/>
        <v>6186.8054223937515</v>
      </c>
      <c r="J9" s="93">
        <f t="shared" si="4"/>
        <v>6660.4003874046139</v>
      </c>
      <c r="K9" s="93">
        <f t="shared" si="4"/>
        <v>7103.1475827017648</v>
      </c>
      <c r="L9" s="93">
        <f t="shared" si="4"/>
        <v>7504.2925396426608</v>
      </c>
      <c r="M9" s="97">
        <f>M7-M8</f>
        <v>7355.7723607609605</v>
      </c>
    </row>
    <row r="10" spans="1:14" ht="15" customHeight="1">
      <c r="A10" s="45" t="s">
        <v>48</v>
      </c>
      <c r="B10" s="92">
        <f>IF('Input sheet'!B54="Yes",'Input sheet'!B55,0)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146</v>
      </c>
      <c r="B12" s="94"/>
      <c r="C12" s="90">
        <f>'Input sheet'!B31</f>
        <v>6.5000000000000002E-2</v>
      </c>
      <c r="D12" s="90">
        <f>C12</f>
        <v>6.5000000000000002E-2</v>
      </c>
      <c r="E12" s="90">
        <f>D12</f>
        <v>6.5000000000000002E-2</v>
      </c>
      <c r="F12" s="90">
        <f>E12</f>
        <v>6.5000000000000002E-2</v>
      </c>
      <c r="G12" s="90">
        <f>F12</f>
        <v>6.5000000000000002E-2</v>
      </c>
      <c r="H12" s="90">
        <f>G12-($G$12-$M$12)/5</f>
        <v>6.2944E-2</v>
      </c>
      <c r="I12" s="90">
        <f>H12-($G$12-$M$12)/5</f>
        <v>6.0887999999999998E-2</v>
      </c>
      <c r="J12" s="90">
        <f>I12-($G$12-$M$12)/5</f>
        <v>5.8831999999999995E-2</v>
      </c>
      <c r="K12" s="90">
        <f>J12-($G$12-$M$12)/5</f>
        <v>5.6775999999999993E-2</v>
      </c>
      <c r="L12" s="90">
        <f>K12-($G$12-$M$12)/5</f>
        <v>5.4719999999999991E-2</v>
      </c>
      <c r="M12" s="91">
        <f>IF('Input sheet'!B41="Yes",'Input sheet'!B42,IF('Input sheet'!B57="Yes",'Input sheet'!B58+0.8*'Country equity risk premiums'!B1,'Input sheet'!B30+0.8*'Country equity risk premiums'!B1))</f>
        <v>5.4720000000000005E-2</v>
      </c>
    </row>
    <row r="13" spans="1:14" ht="15" customHeight="1">
      <c r="A13" s="46" t="s">
        <v>147</v>
      </c>
      <c r="B13" s="89"/>
      <c r="C13" s="153">
        <f>1/(1+C12)</f>
        <v>0.93896713615023475</v>
      </c>
      <c r="D13" s="153">
        <f>C13*(1/(1+D12))</f>
        <v>0.88165928277017347</v>
      </c>
      <c r="E13" s="153">
        <f t="shared" ref="E13:L13" si="6">D13*(1/(1+E12))</f>
        <v>0.82784909180297983</v>
      </c>
      <c r="F13" s="153">
        <f t="shared" si="6"/>
        <v>0.77732309089481677</v>
      </c>
      <c r="G13" s="153">
        <f t="shared" si="6"/>
        <v>0.7298808365209547</v>
      </c>
      <c r="H13" s="153">
        <f t="shared" si="6"/>
        <v>0.68665972668452402</v>
      </c>
      <c r="I13" s="153">
        <f t="shared" si="6"/>
        <v>0.64724997048182653</v>
      </c>
      <c r="J13" s="153">
        <f t="shared" si="6"/>
        <v>0.61128674849440379</v>
      </c>
      <c r="K13" s="153">
        <f t="shared" si="6"/>
        <v>0.57844495758268899</v>
      </c>
      <c r="L13" s="153">
        <f t="shared" si="6"/>
        <v>0.54843461542654826</v>
      </c>
      <c r="M13" s="98"/>
    </row>
    <row r="14" spans="1:14" ht="15" customHeight="1">
      <c r="A14" s="46" t="s">
        <v>21</v>
      </c>
      <c r="B14" s="89"/>
      <c r="C14" s="93">
        <f t="shared" ref="C14:L14" si="7">C9*C13</f>
        <v>3566.6644732394348</v>
      </c>
      <c r="D14" s="93">
        <f t="shared" si="7"/>
        <v>4392.1011005837472</v>
      </c>
      <c r="E14" s="93">
        <f t="shared" si="7"/>
        <v>4188.954698298835</v>
      </c>
      <c r="F14" s="93">
        <f t="shared" si="7"/>
        <v>3987.6189655519934</v>
      </c>
      <c r="G14" s="93">
        <f t="shared" si="7"/>
        <v>3788.0813783991011</v>
      </c>
      <c r="H14" s="93">
        <f t="shared" si="7"/>
        <v>3909.2750442951333</v>
      </c>
      <c r="I14" s="93">
        <f t="shared" si="7"/>
        <v>4004.4096270211598</v>
      </c>
      <c r="J14" s="93">
        <f t="shared" si="7"/>
        <v>4071.4144964874336</v>
      </c>
      <c r="K14" s="93">
        <f t="shared" si="7"/>
        <v>4108.7799021795017</v>
      </c>
      <c r="L14" s="93">
        <f t="shared" si="7"/>
        <v>4115.613793027238</v>
      </c>
      <c r="M14" s="98"/>
    </row>
    <row r="15" spans="1:14" ht="15" customHeight="1">
      <c r="A15" s="46"/>
      <c r="B15" s="45"/>
      <c r="C15" s="51"/>
      <c r="D15" s="51"/>
      <c r="E15" s="51"/>
      <c r="F15" s="51"/>
      <c r="G15" s="51"/>
      <c r="H15" s="51"/>
      <c r="I15" s="51"/>
      <c r="J15" s="51"/>
      <c r="K15" s="51"/>
      <c r="L15" s="51"/>
    </row>
    <row r="16" spans="1:14" ht="15" customHeight="1">
      <c r="A16" s="48" t="s">
        <v>22</v>
      </c>
      <c r="B16" s="92">
        <f>M9</f>
        <v>7355.7723607609605</v>
      </c>
      <c r="C16" s="51"/>
      <c r="D16" s="51"/>
      <c r="E16" s="51"/>
      <c r="F16" s="51"/>
      <c r="G16" s="51"/>
      <c r="H16" s="51"/>
      <c r="I16" s="51"/>
      <c r="J16" s="51"/>
      <c r="K16" s="51"/>
      <c r="L16" s="51"/>
    </row>
    <row r="17" spans="1:12" ht="15" customHeight="1">
      <c r="A17" s="48" t="s">
        <v>142</v>
      </c>
      <c r="B17" s="94">
        <f>M12</f>
        <v>5.4720000000000005E-2</v>
      </c>
      <c r="C17" s="51"/>
      <c r="D17" s="51"/>
      <c r="E17" s="51"/>
      <c r="F17" s="51"/>
      <c r="G17" s="51"/>
      <c r="H17" s="51"/>
      <c r="I17" s="51"/>
      <c r="J17" s="51"/>
      <c r="K17" s="51"/>
      <c r="L17" s="51"/>
    </row>
    <row r="18" spans="1:12">
      <c r="A18" s="48" t="s">
        <v>23</v>
      </c>
      <c r="B18" s="92">
        <f>B16/(B17-M2)</f>
        <v>189973.45973039669</v>
      </c>
      <c r="C18" s="51"/>
      <c r="D18" s="154"/>
      <c r="E18" s="51"/>
      <c r="F18" s="51"/>
      <c r="G18" s="51"/>
      <c r="H18" s="51"/>
      <c r="I18" s="51"/>
      <c r="J18" s="51"/>
      <c r="K18" s="51"/>
      <c r="L18" s="51"/>
    </row>
    <row r="19" spans="1:12">
      <c r="A19" s="48" t="s">
        <v>24</v>
      </c>
      <c r="B19" s="99">
        <f>B18*L13</f>
        <v>104188.02132849096</v>
      </c>
      <c r="C19" s="51"/>
      <c r="D19" s="51"/>
      <c r="E19" s="51"/>
      <c r="F19" s="51"/>
      <c r="G19" s="51"/>
      <c r="H19" s="51"/>
      <c r="I19" s="51"/>
      <c r="J19" s="51"/>
      <c r="K19" s="51"/>
      <c r="L19" s="51"/>
    </row>
    <row r="20" spans="1:12">
      <c r="A20" s="48" t="s">
        <v>46</v>
      </c>
      <c r="B20" s="99">
        <f>SUM(C14:L14)</f>
        <v>40132.913479083574</v>
      </c>
      <c r="C20" s="51"/>
      <c r="D20" s="51"/>
      <c r="E20" s="51"/>
      <c r="F20" s="51"/>
      <c r="G20" s="51"/>
      <c r="H20" s="51"/>
      <c r="I20" s="51"/>
      <c r="J20" s="51"/>
      <c r="K20" s="51"/>
      <c r="L20" s="51"/>
    </row>
    <row r="21" spans="1:12">
      <c r="A21" s="48" t="s">
        <v>47</v>
      </c>
      <c r="B21" s="99">
        <f>B19+B20</f>
        <v>144320.93480757452</v>
      </c>
      <c r="C21" s="51"/>
      <c r="D21" s="51"/>
      <c r="E21" s="51"/>
      <c r="F21" s="51"/>
      <c r="G21" s="51"/>
      <c r="H21" s="51"/>
      <c r="I21" s="51"/>
      <c r="J21" s="51"/>
      <c r="K21" s="51"/>
      <c r="L21" s="51"/>
    </row>
    <row r="22" spans="1:12">
      <c r="A22" s="48" t="s">
        <v>110</v>
      </c>
      <c r="B22" s="100">
        <f>IF('Input sheet'!B47="Yes",'Input sheet'!B48,0)</f>
        <v>0</v>
      </c>
      <c r="C22" s="51"/>
      <c r="D22" s="51"/>
      <c r="E22" s="51"/>
      <c r="F22" s="51"/>
      <c r="G22" s="51"/>
      <c r="H22" s="51"/>
      <c r="I22" s="51"/>
      <c r="J22" s="51"/>
      <c r="K22" s="51"/>
      <c r="L22" s="51"/>
    </row>
    <row r="23" spans="1:12">
      <c r="A23" s="48" t="s">
        <v>111</v>
      </c>
      <c r="B23" s="101">
        <f>IF('Input sheet'!B49="B",('Input sheet'!B11+'Input sheet'!B12)*'Input sheet'!B50,'Valuation output'!B21*'Input sheet'!B50)</f>
        <v>14803.8</v>
      </c>
      <c r="C23" s="51"/>
      <c r="D23" s="51"/>
      <c r="E23" s="51"/>
      <c r="F23" s="51"/>
      <c r="G23" s="51"/>
      <c r="H23" s="51"/>
      <c r="I23" s="51"/>
      <c r="J23" s="51"/>
      <c r="K23" s="51"/>
      <c r="L23" s="51"/>
    </row>
    <row r="24" spans="1:12">
      <c r="A24" s="48" t="s">
        <v>44</v>
      </c>
      <c r="B24" s="92">
        <f>B21*(1-B22)+B23*B22</f>
        <v>144320.93480757452</v>
      </c>
      <c r="C24" s="51"/>
      <c r="D24" s="51"/>
      <c r="E24" s="51"/>
      <c r="F24" s="51"/>
      <c r="G24" s="51"/>
      <c r="H24" s="51"/>
      <c r="I24" s="51"/>
      <c r="J24" s="51"/>
      <c r="K24" s="51"/>
      <c r="L24" s="51"/>
    </row>
    <row r="25" spans="1:12">
      <c r="A25" s="48" t="s">
        <v>390</v>
      </c>
      <c r="B25" s="92">
        <f>IF('Input sheet'!B14="Yes",'Input sheet'!B12+'Operating lease converter'!C28,'Input sheet'!B12)</f>
        <v>8940</v>
      </c>
      <c r="C25" s="51"/>
      <c r="D25" s="51"/>
      <c r="E25" s="51"/>
      <c r="F25" s="51"/>
      <c r="G25" s="51"/>
      <c r="H25" s="51"/>
      <c r="I25" s="51"/>
      <c r="J25" s="51"/>
      <c r="K25" s="51"/>
      <c r="L25" s="51"/>
    </row>
    <row r="26" spans="1:12">
      <c r="A26" s="48" t="s">
        <v>392</v>
      </c>
      <c r="B26" s="92">
        <f>'Input sheet'!B17</f>
        <v>2</v>
      </c>
      <c r="C26" s="51"/>
      <c r="D26" s="51"/>
      <c r="E26" s="51"/>
      <c r="F26" s="51"/>
      <c r="G26" s="51"/>
      <c r="H26" s="51"/>
      <c r="I26" s="51"/>
      <c r="J26" s="51"/>
      <c r="K26" s="51"/>
      <c r="L26" s="51"/>
    </row>
    <row r="27" spans="1:12">
      <c r="A27" s="48" t="s">
        <v>389</v>
      </c>
      <c r="B27" s="92">
        <f>IF('Input sheet'!B63="YES",'Input sheet'!B15-'Input sheet'!B64*('Input sheet'!B21-'Input sheet'!B65),'Input sheet'!B15)</f>
        <v>6638</v>
      </c>
      <c r="C27" s="51"/>
      <c r="D27" s="51"/>
      <c r="E27" s="51"/>
      <c r="F27" s="51"/>
      <c r="G27" s="51"/>
      <c r="H27" s="51"/>
      <c r="I27" s="51"/>
      <c r="J27" s="51"/>
      <c r="K27" s="51"/>
      <c r="L27" s="51"/>
    </row>
    <row r="28" spans="1:12">
      <c r="A28" s="48" t="s">
        <v>388</v>
      </c>
      <c r="B28" s="92">
        <f>'Input sheet'!B16</f>
        <v>0</v>
      </c>
      <c r="C28" s="51"/>
      <c r="D28" s="51"/>
      <c r="E28" s="51"/>
      <c r="F28" s="51"/>
      <c r="G28" s="51"/>
      <c r="H28" s="51"/>
      <c r="I28" s="51"/>
      <c r="J28" s="51"/>
      <c r="K28" s="51"/>
      <c r="L28" s="51"/>
    </row>
    <row r="29" spans="1:12">
      <c r="A29" s="48" t="s">
        <v>53</v>
      </c>
      <c r="B29" s="99">
        <f>B24-B25-B26+B27+B28</f>
        <v>142016.93480757452</v>
      </c>
      <c r="C29" s="51"/>
      <c r="D29" s="51"/>
      <c r="E29" s="51"/>
      <c r="F29" s="51"/>
      <c r="G29" s="51"/>
      <c r="H29" s="51"/>
      <c r="I29" s="51"/>
      <c r="J29" s="51"/>
      <c r="K29" s="51"/>
      <c r="L29" s="51"/>
    </row>
    <row r="30" spans="1:12">
      <c r="A30" s="48" t="s">
        <v>59</v>
      </c>
      <c r="B30" s="102">
        <f>IF('Input sheet'!B33="No",0,'Option value'!D27)</f>
        <v>0</v>
      </c>
      <c r="C30" s="51"/>
      <c r="D30" s="51"/>
      <c r="E30" s="51"/>
      <c r="F30" s="51"/>
      <c r="G30" s="51"/>
      <c r="H30" s="51"/>
      <c r="I30" s="51"/>
      <c r="J30" s="51"/>
      <c r="K30" s="51"/>
      <c r="L30" s="51"/>
    </row>
    <row r="31" spans="1:12">
      <c r="A31" s="48" t="s">
        <v>60</v>
      </c>
      <c r="B31" s="99">
        <f>B29-B30</f>
        <v>142016.93480757452</v>
      </c>
      <c r="C31" s="51"/>
      <c r="D31" s="51"/>
      <c r="E31" s="51"/>
      <c r="F31" s="51"/>
      <c r="G31" s="51"/>
      <c r="H31" s="51"/>
      <c r="I31" s="51"/>
      <c r="J31" s="51"/>
      <c r="K31" s="51"/>
      <c r="L31" s="51"/>
    </row>
    <row r="32" spans="1:12">
      <c r="A32" s="48" t="s">
        <v>13</v>
      </c>
      <c r="B32" s="103">
        <f>'Input sheet'!B18</f>
        <v>310.06</v>
      </c>
      <c r="C32" s="51"/>
      <c r="D32" s="51"/>
      <c r="E32" s="51"/>
      <c r="F32" s="51"/>
      <c r="G32" s="51"/>
      <c r="H32" s="51"/>
      <c r="I32" s="51"/>
      <c r="J32" s="51"/>
      <c r="K32" s="51"/>
      <c r="L32" s="51"/>
    </row>
    <row r="33" spans="1:13">
      <c r="A33" s="48" t="s">
        <v>94</v>
      </c>
      <c r="B33" s="104">
        <f>B31/B32</f>
        <v>458.03049347730928</v>
      </c>
      <c r="C33" s="51"/>
      <c r="D33" s="51"/>
      <c r="E33" s="51"/>
      <c r="F33" s="51"/>
      <c r="G33" s="51"/>
      <c r="H33" s="51"/>
      <c r="I33" s="51"/>
      <c r="J33" s="51"/>
      <c r="K33" s="51"/>
      <c r="L33" s="51"/>
    </row>
    <row r="34" spans="1:13">
      <c r="A34" s="48" t="s">
        <v>101</v>
      </c>
      <c r="B34" s="105">
        <f>'Input sheet'!B19</f>
        <v>343.09</v>
      </c>
      <c r="C34" s="51"/>
      <c r="D34" s="51"/>
      <c r="E34" s="51"/>
      <c r="F34" s="51"/>
      <c r="G34" s="51"/>
      <c r="H34" s="51"/>
      <c r="I34" s="51"/>
      <c r="J34" s="51"/>
      <c r="K34" s="51"/>
      <c r="L34" s="51"/>
    </row>
    <row r="35" spans="1:13">
      <c r="A35" s="48" t="s">
        <v>51</v>
      </c>
      <c r="B35" s="95">
        <f>B34/B33</f>
        <v>0.74905493168217752</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sheet'!B28</f>
        <v>1.6680377005137002</v>
      </c>
      <c r="D38" s="106">
        <f>C38</f>
        <v>1.6680377005137002</v>
      </c>
      <c r="E38" s="106">
        <f t="shared" ref="E38:L38" si="8">D38</f>
        <v>1.6680377005137002</v>
      </c>
      <c r="F38" s="106">
        <f t="shared" si="8"/>
        <v>1.6680377005137002</v>
      </c>
      <c r="G38" s="106">
        <f t="shared" si="8"/>
        <v>1.6680377005137002</v>
      </c>
      <c r="H38" s="106">
        <f t="shared" si="8"/>
        <v>1.6680377005137002</v>
      </c>
      <c r="I38" s="106">
        <f t="shared" si="8"/>
        <v>1.6680377005137002</v>
      </c>
      <c r="J38" s="106">
        <f t="shared" si="8"/>
        <v>1.6680377005137002</v>
      </c>
      <c r="K38" s="106">
        <f t="shared" si="8"/>
        <v>1.6680377005137002</v>
      </c>
      <c r="L38" s="106">
        <f t="shared" si="8"/>
        <v>1.6680377005137002</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22853.8</v>
      </c>
      <c r="C39" s="108">
        <f t="shared" ref="C39:L39" si="9">B39+C8</f>
        <v>25596.256000000001</v>
      </c>
      <c r="D39" s="108">
        <f t="shared" si="9"/>
        <v>27132.031360000001</v>
      </c>
      <c r="E39" s="108">
        <f t="shared" si="9"/>
        <v>28759.9532416</v>
      </c>
      <c r="F39" s="108">
        <f t="shared" si="9"/>
        <v>30485.550436096</v>
      </c>
      <c r="G39" s="108">
        <f t="shared" si="9"/>
        <v>32314.683462261761</v>
      </c>
      <c r="H39" s="108">
        <f t="shared" si="9"/>
        <v>33969.195255529557</v>
      </c>
      <c r="I39" s="108">
        <f t="shared" si="9"/>
        <v>35409.489134364012</v>
      </c>
      <c r="J39" s="108">
        <f t="shared" si="9"/>
        <v>36599.247969278644</v>
      </c>
      <c r="K39" s="108">
        <f t="shared" si="9"/>
        <v>37506.909318916747</v>
      </c>
      <c r="L39" s="108">
        <f t="shared" si="9"/>
        <v>38107.019868019415</v>
      </c>
      <c r="M39" s="98"/>
    </row>
    <row r="40" spans="1:13">
      <c r="A40" s="44" t="s">
        <v>19</v>
      </c>
      <c r="B40" s="94">
        <f t="shared" ref="B40:L40" si="10">B7/B39</f>
        <v>0.26738172207685373</v>
      </c>
      <c r="C40" s="90">
        <f t="shared" si="10"/>
        <v>0.2555433757186989</v>
      </c>
      <c r="D40" s="90">
        <f t="shared" si="10"/>
        <v>0.24021077317557699</v>
      </c>
      <c r="E40" s="90">
        <f t="shared" si="10"/>
        <v>0.232544471904016</v>
      </c>
      <c r="F40" s="90">
        <f t="shared" si="10"/>
        <v>0.22487817063245508</v>
      </c>
      <c r="G40" s="90">
        <f t="shared" si="10"/>
        <v>0.21721186936089407</v>
      </c>
      <c r="H40" s="90">
        <f t="shared" si="10"/>
        <v>0.21630445685181465</v>
      </c>
      <c r="I40" s="90">
        <f t="shared" si="10"/>
        <v>0.21539704434273516</v>
      </c>
      <c r="J40" s="90">
        <f t="shared" si="10"/>
        <v>0.21448963183365571</v>
      </c>
      <c r="K40" s="90">
        <f t="shared" si="10"/>
        <v>0.21358221932457627</v>
      </c>
      <c r="L40" s="110">
        <f t="shared" si="10"/>
        <v>0.21267480681549683</v>
      </c>
      <c r="M40" s="90">
        <f>IF('Input sheet'!B44="Yes",'Input sheet'!B45,'Valuation output'!L12)</f>
        <v>0.15</v>
      </c>
    </row>
    <row r="41" spans="1:13">
      <c r="A41" s="46"/>
    </row>
  </sheetData>
  <phoneticPr fontId="7" type="noConversion"/>
  <pageMargins left="0.75" right="0.75" top="1" bottom="1" header="0.5" footer="0.5"/>
  <pageSetup orientation="landscape"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7" t="str">
        <f>'Input sheet'!B2</f>
        <v>Deere</v>
      </c>
      <c r="B1" s="377"/>
      <c r="C1" s="377"/>
      <c r="D1" s="377"/>
      <c r="E1" s="377"/>
      <c r="F1" s="377"/>
      <c r="G1" s="377"/>
    </row>
    <row r="2" spans="1:11">
      <c r="A2" s="378" t="s">
        <v>623</v>
      </c>
      <c r="B2" s="378"/>
      <c r="C2" s="378"/>
      <c r="D2" s="378"/>
      <c r="E2" s="378"/>
      <c r="F2" s="378"/>
      <c r="G2" s="378"/>
    </row>
    <row r="3" spans="1:11" ht="16" customHeight="1">
      <c r="A3" s="387"/>
      <c r="B3" s="388"/>
      <c r="C3" s="388"/>
      <c r="D3" s="388"/>
      <c r="E3" s="388"/>
      <c r="F3" s="388"/>
      <c r="G3" s="389"/>
      <c r="H3" s="396" t="s">
        <v>648</v>
      </c>
      <c r="I3" s="397"/>
      <c r="J3" s="397"/>
      <c r="K3" s="398"/>
    </row>
    <row r="4" spans="1:11" ht="16" customHeight="1">
      <c r="A4" s="390"/>
      <c r="B4" s="391"/>
      <c r="C4" s="391"/>
      <c r="D4" s="391"/>
      <c r="E4" s="391"/>
      <c r="F4" s="391"/>
      <c r="G4" s="392"/>
      <c r="H4" s="399"/>
      <c r="I4" s="400"/>
      <c r="J4" s="400"/>
      <c r="K4" s="401"/>
    </row>
    <row r="5" spans="1:11" ht="12" customHeight="1">
      <c r="A5" s="390"/>
      <c r="B5" s="391"/>
      <c r="C5" s="391"/>
      <c r="D5" s="391"/>
      <c r="E5" s="391"/>
      <c r="F5" s="391"/>
      <c r="G5" s="392"/>
      <c r="H5" s="399"/>
      <c r="I5" s="400"/>
      <c r="J5" s="400"/>
      <c r="K5" s="401"/>
    </row>
    <row r="6" spans="1:11" ht="47" customHeight="1">
      <c r="A6" s="393"/>
      <c r="B6" s="394"/>
      <c r="C6" s="394"/>
      <c r="D6" s="394"/>
      <c r="E6" s="394"/>
      <c r="F6" s="394"/>
      <c r="G6" s="395"/>
      <c r="H6" s="402"/>
      <c r="I6" s="403"/>
      <c r="J6" s="403"/>
      <c r="K6" s="404"/>
    </row>
    <row r="7" spans="1:11">
      <c r="A7" s="379" t="s">
        <v>624</v>
      </c>
      <c r="B7" s="380"/>
      <c r="C7" s="380"/>
      <c r="D7" s="380"/>
      <c r="E7" s="380"/>
      <c r="F7" s="380"/>
      <c r="G7" s="381"/>
    </row>
    <row r="8" spans="1:11">
      <c r="A8" s="272"/>
      <c r="B8" s="267" t="s">
        <v>625</v>
      </c>
      <c r="C8" s="268" t="s">
        <v>626</v>
      </c>
      <c r="D8" s="267" t="s">
        <v>627</v>
      </c>
      <c r="E8" s="267"/>
      <c r="F8" s="267" t="s">
        <v>43</v>
      </c>
      <c r="G8" s="269" t="s">
        <v>634</v>
      </c>
    </row>
    <row r="9" spans="1:11">
      <c r="A9" s="273" t="s">
        <v>635</v>
      </c>
      <c r="B9" s="274">
        <f>'Valuation output'!B3</f>
        <v>38121</v>
      </c>
      <c r="C9" s="275">
        <f>'Input sheet'!B25</f>
        <v>0.06</v>
      </c>
      <c r="D9" s="275">
        <f>F9</f>
        <v>1.6E-2</v>
      </c>
      <c r="E9" s="276"/>
      <c r="F9" s="275">
        <f>'Valuation output'!M2</f>
        <v>1.6E-2</v>
      </c>
      <c r="G9" s="299"/>
      <c r="H9" s="405" t="s">
        <v>649</v>
      </c>
      <c r="I9" s="406"/>
      <c r="J9" s="406"/>
      <c r="K9" s="407"/>
    </row>
    <row r="10" spans="1:11">
      <c r="A10" s="273" t="s">
        <v>636</v>
      </c>
      <c r="B10" s="275">
        <f>'Valuation output'!B4</f>
        <v>0.20926523438524697</v>
      </c>
      <c r="C10" s="277">
        <f>B10</f>
        <v>0.20926523438524697</v>
      </c>
      <c r="D10" s="278">
        <f>F10</f>
        <v>0.17</v>
      </c>
      <c r="E10" s="278"/>
      <c r="F10" s="275">
        <f>'Valuation output'!M4</f>
        <v>0.17</v>
      </c>
      <c r="G10" s="304"/>
      <c r="H10" s="408"/>
      <c r="I10" s="409"/>
      <c r="J10" s="409"/>
      <c r="K10" s="410"/>
    </row>
    <row r="11" spans="1:11">
      <c r="A11" s="273" t="s">
        <v>140</v>
      </c>
      <c r="B11" s="275">
        <f>'Valuation output'!B6</f>
        <v>0.23400000000000001</v>
      </c>
      <c r="C11" s="277">
        <f>B11</f>
        <v>0.23400000000000001</v>
      </c>
      <c r="D11" s="278">
        <f>F11</f>
        <v>0.25</v>
      </c>
      <c r="E11" s="278"/>
      <c r="F11" s="275">
        <f>'Valuation output'!M6</f>
        <v>0.25</v>
      </c>
      <c r="G11" s="304"/>
      <c r="H11" s="408"/>
      <c r="I11" s="409"/>
      <c r="J11" s="409"/>
      <c r="K11" s="410"/>
    </row>
    <row r="12" spans="1:11">
      <c r="A12" s="273" t="s">
        <v>637</v>
      </c>
      <c r="B12" s="276"/>
      <c r="C12" s="279" t="s">
        <v>641</v>
      </c>
      <c r="D12" s="280">
        <f>'Input sheet'!B28</f>
        <v>1.6680377005137002</v>
      </c>
      <c r="E12" s="281" t="s">
        <v>653</v>
      </c>
      <c r="F12" s="282">
        <f>'Valuation output'!M2/'Valuation output'!M40</f>
        <v>0.10666666666666667</v>
      </c>
      <c r="G12" s="304"/>
      <c r="H12" s="408"/>
      <c r="I12" s="409"/>
      <c r="J12" s="409"/>
      <c r="K12" s="410"/>
    </row>
    <row r="13" spans="1:11">
      <c r="A13" s="306" t="s">
        <v>651</v>
      </c>
      <c r="B13" s="310">
        <f>'Valuation output'!B40</f>
        <v>0.26738172207685373</v>
      </c>
      <c r="C13" s="313" t="s">
        <v>652</v>
      </c>
      <c r="D13" s="314">
        <f>Diagnostics!B6</f>
        <v>0.18543434169752379</v>
      </c>
      <c r="E13" s="307"/>
      <c r="F13" s="308">
        <f>'Valuation output'!M40</f>
        <v>0.15</v>
      </c>
      <c r="G13" s="309"/>
      <c r="H13" s="408"/>
      <c r="I13" s="409"/>
      <c r="J13" s="409"/>
      <c r="K13" s="410"/>
    </row>
    <row r="14" spans="1:11" ht="17" thickBot="1">
      <c r="A14" s="283" t="s">
        <v>638</v>
      </c>
      <c r="B14" s="311"/>
      <c r="C14" s="277">
        <f>'Valuation output'!C12</f>
        <v>6.5000000000000002E-2</v>
      </c>
      <c r="D14" s="278">
        <f>F14</f>
        <v>5.4720000000000005E-2</v>
      </c>
      <c r="E14" s="312"/>
      <c r="F14" s="284">
        <f>'Valuation output'!M12</f>
        <v>5.4720000000000005E-2</v>
      </c>
      <c r="G14" s="305"/>
      <c r="H14" s="411"/>
      <c r="I14" s="412"/>
      <c r="J14" s="412"/>
      <c r="K14" s="413"/>
    </row>
    <row r="15" spans="1:11" ht="17" thickBot="1">
      <c r="A15" s="382" t="s">
        <v>629</v>
      </c>
      <c r="B15" s="382"/>
      <c r="C15" s="382"/>
      <c r="D15" s="382"/>
      <c r="E15" s="382"/>
      <c r="F15" s="382"/>
      <c r="G15" s="382"/>
    </row>
    <row r="16" spans="1:11">
      <c r="A16" s="266"/>
      <c r="B16" s="270" t="s">
        <v>11</v>
      </c>
      <c r="C16" s="270" t="s">
        <v>628</v>
      </c>
      <c r="D16" s="270" t="s">
        <v>642</v>
      </c>
      <c r="E16" s="270" t="s">
        <v>630</v>
      </c>
      <c r="F16" s="270" t="s">
        <v>639</v>
      </c>
      <c r="G16" s="316" t="s">
        <v>16</v>
      </c>
      <c r="H16" s="414" t="s">
        <v>650</v>
      </c>
      <c r="I16" s="415"/>
      <c r="J16" s="415"/>
      <c r="K16" s="416"/>
    </row>
    <row r="17" spans="1:11">
      <c r="A17" s="285">
        <v>1</v>
      </c>
      <c r="B17" s="286">
        <f>'Valuation output'!C3</f>
        <v>42695.520000000004</v>
      </c>
      <c r="C17" s="287">
        <f>'Valuation output'!C4</f>
        <v>0.2</v>
      </c>
      <c r="D17" s="274">
        <f>B17*C17</f>
        <v>8539.1040000000012</v>
      </c>
      <c r="E17" s="286">
        <f>'Valuation output'!C7</f>
        <v>6540.9536640000006</v>
      </c>
      <c r="F17" s="286">
        <f>'Valuation output'!C8</f>
        <v>2742.4560000000024</v>
      </c>
      <c r="G17" s="317">
        <f>E17-F17</f>
        <v>3798.4976639999982</v>
      </c>
      <c r="H17" s="417"/>
      <c r="I17" s="418"/>
      <c r="J17" s="418"/>
      <c r="K17" s="419"/>
    </row>
    <row r="18" spans="1:11">
      <c r="A18" s="285">
        <v>2</v>
      </c>
      <c r="B18" s="286">
        <f>'Valuation output'!D3</f>
        <v>45257.251200000006</v>
      </c>
      <c r="C18" s="287">
        <f>'Valuation output'!D4</f>
        <v>0.188</v>
      </c>
      <c r="D18" s="274">
        <f t="shared" ref="D18:D27" si="0">B18*C18</f>
        <v>8508.3632256000019</v>
      </c>
      <c r="E18" s="286">
        <f>'Valuation output'!D7</f>
        <v>6517.4062308096018</v>
      </c>
      <c r="F18" s="286">
        <f>'Valuation output'!D8</f>
        <v>1535.7753600000012</v>
      </c>
      <c r="G18" s="317">
        <f t="shared" ref="G18:G27" si="1">E18-F18</f>
        <v>4981.6308708096003</v>
      </c>
      <c r="H18" s="417"/>
      <c r="I18" s="418"/>
      <c r="J18" s="418"/>
      <c r="K18" s="419"/>
    </row>
    <row r="19" spans="1:11">
      <c r="A19" s="285">
        <v>3</v>
      </c>
      <c r="B19" s="286">
        <f>'Valuation output'!E3</f>
        <v>47972.686272000006</v>
      </c>
      <c r="C19" s="287">
        <f>'Valuation output'!E4</f>
        <v>0.18200000000000002</v>
      </c>
      <c r="D19" s="274">
        <f t="shared" si="0"/>
        <v>8731.0289015040016</v>
      </c>
      <c r="E19" s="286">
        <f>'Valuation output'!E7</f>
        <v>6687.9681385520653</v>
      </c>
      <c r="F19" s="286">
        <f>'Valuation output'!E8</f>
        <v>1627.9218816</v>
      </c>
      <c r="G19" s="317">
        <f t="shared" si="1"/>
        <v>5060.0462569520651</v>
      </c>
      <c r="H19" s="417"/>
      <c r="I19" s="418"/>
      <c r="J19" s="418"/>
      <c r="K19" s="419"/>
    </row>
    <row r="20" spans="1:11">
      <c r="A20" s="285">
        <v>4</v>
      </c>
      <c r="B20" s="286">
        <f>'Valuation output'!F3</f>
        <v>50851.047448320009</v>
      </c>
      <c r="C20" s="287">
        <f>'Valuation output'!F4</f>
        <v>0.17600000000000002</v>
      </c>
      <c r="D20" s="274">
        <f t="shared" si="0"/>
        <v>8949.7843509043232</v>
      </c>
      <c r="E20" s="286">
        <f>'Valuation output'!F7</f>
        <v>6855.5348127927118</v>
      </c>
      <c r="F20" s="286">
        <f>'Valuation output'!F8</f>
        <v>1725.5971944960015</v>
      </c>
      <c r="G20" s="317">
        <f t="shared" si="1"/>
        <v>5129.9376182967098</v>
      </c>
      <c r="H20" s="417"/>
      <c r="I20" s="418"/>
      <c r="J20" s="418"/>
      <c r="K20" s="419"/>
    </row>
    <row r="21" spans="1:11">
      <c r="A21" s="285">
        <v>5</v>
      </c>
      <c r="B21" s="286">
        <f>'Valuation output'!G3</f>
        <v>53902.110295219209</v>
      </c>
      <c r="C21" s="287">
        <f>'Valuation output'!G4</f>
        <v>0.17</v>
      </c>
      <c r="D21" s="274">
        <f t="shared" si="0"/>
        <v>9163.3587501872662</v>
      </c>
      <c r="E21" s="286">
        <f>'Valuation output'!G7</f>
        <v>7019.1328026434458</v>
      </c>
      <c r="F21" s="286">
        <f>'Valuation output'!G8</f>
        <v>1829.1330261657599</v>
      </c>
      <c r="G21" s="317">
        <f t="shared" si="1"/>
        <v>5189.9997764776854</v>
      </c>
      <c r="H21" s="417"/>
      <c r="I21" s="418"/>
      <c r="J21" s="418"/>
      <c r="K21" s="419"/>
    </row>
    <row r="22" spans="1:11">
      <c r="A22" s="285">
        <v>6</v>
      </c>
      <c r="B22" s="286">
        <f>'Valuation output'!H3</f>
        <v>56661.898342334425</v>
      </c>
      <c r="C22" s="287">
        <f>'Valuation output'!H4</f>
        <v>0.17</v>
      </c>
      <c r="D22" s="274">
        <f t="shared" si="0"/>
        <v>9632.522718196853</v>
      </c>
      <c r="E22" s="286">
        <f>'Valuation output'!H7</f>
        <v>7347.6883294405598</v>
      </c>
      <c r="F22" s="286">
        <f>'Valuation output'!H8</f>
        <v>1654.5117932677983</v>
      </c>
      <c r="G22" s="317">
        <f t="shared" si="1"/>
        <v>5693.1765361727612</v>
      </c>
      <c r="H22" s="417"/>
      <c r="I22" s="418"/>
      <c r="J22" s="418"/>
      <c r="K22" s="419"/>
    </row>
    <row r="23" spans="1:11">
      <c r="A23" s="285">
        <v>7</v>
      </c>
      <c r="B23" s="286">
        <f>'Valuation output'!I3</f>
        <v>59064.362832049403</v>
      </c>
      <c r="C23" s="287">
        <f>'Valuation output'!I4</f>
        <v>0.17</v>
      </c>
      <c r="D23" s="274">
        <f t="shared" si="0"/>
        <v>10040.941681448399</v>
      </c>
      <c r="E23" s="286">
        <f>'Valuation output'!I7</f>
        <v>7627.0993012282033</v>
      </c>
      <c r="F23" s="286">
        <f>'Valuation output'!I8</f>
        <v>1440.293878834452</v>
      </c>
      <c r="G23" s="317">
        <f t="shared" si="1"/>
        <v>6186.8054223937515</v>
      </c>
      <c r="H23" s="417"/>
      <c r="I23" s="418"/>
      <c r="J23" s="418"/>
      <c r="K23" s="419"/>
    </row>
    <row r="24" spans="1:11">
      <c r="A24" s="285">
        <v>8</v>
      </c>
      <c r="B24" s="286">
        <f>'Valuation output'!J3</f>
        <v>61048.925423206267</v>
      </c>
      <c r="C24" s="287">
        <f>'Valuation output'!J4</f>
        <v>0.17</v>
      </c>
      <c r="D24" s="274">
        <f t="shared" si="0"/>
        <v>10378.317321945065</v>
      </c>
      <c r="E24" s="286">
        <f>'Valuation output'!J7</f>
        <v>7850.1592223192474</v>
      </c>
      <c r="F24" s="286">
        <f>'Valuation output'!J8</f>
        <v>1189.7588349146333</v>
      </c>
      <c r="G24" s="317">
        <f t="shared" si="1"/>
        <v>6660.4003874046139</v>
      </c>
      <c r="H24" s="417"/>
      <c r="I24" s="418"/>
      <c r="J24" s="418"/>
      <c r="K24" s="419"/>
    </row>
    <row r="25" spans="1:11">
      <c r="A25" s="285">
        <v>9</v>
      </c>
      <c r="B25" s="286">
        <f>'Valuation output'!K3</f>
        <v>62562.938773701775</v>
      </c>
      <c r="C25" s="287">
        <f>'Valuation output'!K4</f>
        <v>0.17</v>
      </c>
      <c r="D25" s="274">
        <f t="shared" si="0"/>
        <v>10635.699591529303</v>
      </c>
      <c r="E25" s="286">
        <f>'Valuation output'!K7</f>
        <v>8010.8089323398708</v>
      </c>
      <c r="F25" s="286">
        <f>'Valuation output'!K8</f>
        <v>907.66134963810623</v>
      </c>
      <c r="G25" s="317">
        <f t="shared" si="1"/>
        <v>7103.1475827017648</v>
      </c>
      <c r="H25" s="417"/>
      <c r="I25" s="418"/>
      <c r="J25" s="418"/>
      <c r="K25" s="419"/>
    </row>
    <row r="26" spans="1:11">
      <c r="A26" s="285">
        <v>10</v>
      </c>
      <c r="B26" s="286">
        <f>'Valuation output'!L3</f>
        <v>63563.945794081003</v>
      </c>
      <c r="C26" s="287">
        <f>'Valuation output'!L4</f>
        <v>0.17</v>
      </c>
      <c r="D26" s="274">
        <f t="shared" si="0"/>
        <v>10805.870784993771</v>
      </c>
      <c r="E26" s="286">
        <f>'Valuation output'!L7</f>
        <v>8104.4030887453282</v>
      </c>
      <c r="F26" s="286">
        <f>'Valuation output'!L8</f>
        <v>600.11054910266751</v>
      </c>
      <c r="G26" s="317">
        <f t="shared" si="1"/>
        <v>7504.2925396426608</v>
      </c>
      <c r="H26" s="417"/>
      <c r="I26" s="418"/>
      <c r="J26" s="418"/>
      <c r="K26" s="419"/>
    </row>
    <row r="27" spans="1:11" ht="17" thickBot="1">
      <c r="A27" s="288" t="s">
        <v>45</v>
      </c>
      <c r="B27" s="289">
        <f>'Valuation output'!M3</f>
        <v>64580.9689267863</v>
      </c>
      <c r="C27" s="290">
        <f>'Valuation output'!M4</f>
        <v>0.17</v>
      </c>
      <c r="D27" s="274">
        <f t="shared" si="0"/>
        <v>10978.764717553671</v>
      </c>
      <c r="E27" s="289">
        <f>'Valuation output'!M7</f>
        <v>8234.0735381652539</v>
      </c>
      <c r="F27" s="289">
        <f>'Valuation output'!M8</f>
        <v>878.30117740429375</v>
      </c>
      <c r="G27" s="317">
        <f t="shared" si="1"/>
        <v>7355.7723607609605</v>
      </c>
      <c r="H27" s="420"/>
      <c r="I27" s="421"/>
      <c r="J27" s="421"/>
      <c r="K27" s="422"/>
    </row>
    <row r="28" spans="1:11" ht="17" thickBot="1">
      <c r="A28" s="383" t="s">
        <v>631</v>
      </c>
      <c r="B28" s="383"/>
      <c r="C28" s="383"/>
      <c r="D28" s="383"/>
      <c r="E28" s="383"/>
      <c r="F28" s="383"/>
      <c r="G28" s="383"/>
    </row>
    <row r="29" spans="1:11">
      <c r="A29" s="384" t="s">
        <v>632</v>
      </c>
      <c r="B29" s="385"/>
      <c r="C29" s="386"/>
      <c r="D29" s="291">
        <f>'Valuation output'!B18</f>
        <v>189973.45973039669</v>
      </c>
      <c r="E29" s="292"/>
      <c r="F29" s="293"/>
      <c r="G29" s="294"/>
      <c r="H29" s="423" t="s">
        <v>654</v>
      </c>
      <c r="I29" s="424"/>
      <c r="J29" s="424"/>
      <c r="K29" s="424"/>
    </row>
    <row r="30" spans="1:11">
      <c r="A30" s="374" t="s">
        <v>633</v>
      </c>
      <c r="B30" s="375"/>
      <c r="C30" s="376"/>
      <c r="D30" s="295">
        <f>'Valuation output'!B19</f>
        <v>104188.02132849096</v>
      </c>
      <c r="E30" s="296"/>
      <c r="F30" s="297"/>
      <c r="G30" s="298"/>
      <c r="H30" s="423"/>
      <c r="I30" s="424"/>
      <c r="J30" s="424"/>
      <c r="K30" s="424"/>
    </row>
    <row r="31" spans="1:11">
      <c r="A31" s="374" t="s">
        <v>46</v>
      </c>
      <c r="B31" s="375"/>
      <c r="C31" s="376"/>
      <c r="D31" s="295">
        <f>'Valuation output'!B20</f>
        <v>40132.913479083574</v>
      </c>
      <c r="E31" s="296"/>
      <c r="F31" s="297"/>
      <c r="G31" s="298"/>
      <c r="H31" s="423"/>
      <c r="I31" s="424"/>
      <c r="J31" s="424"/>
      <c r="K31" s="424"/>
    </row>
    <row r="32" spans="1:11">
      <c r="A32" s="374" t="s">
        <v>44</v>
      </c>
      <c r="B32" s="375"/>
      <c r="C32" s="376"/>
      <c r="D32" s="295">
        <f>'Valuation output'!B21</f>
        <v>144320.93480757452</v>
      </c>
      <c r="E32" s="296"/>
      <c r="F32" s="297"/>
      <c r="G32" s="298"/>
      <c r="H32" s="423"/>
      <c r="I32" s="424"/>
      <c r="J32" s="424"/>
      <c r="K32" s="424"/>
    </row>
    <row r="33" spans="1:11">
      <c r="A33" s="374" t="s">
        <v>643</v>
      </c>
      <c r="B33" s="375"/>
      <c r="C33" s="376"/>
      <c r="D33" s="318">
        <f>D32-'Valuation output'!B24</f>
        <v>0</v>
      </c>
      <c r="E33" s="425" t="s">
        <v>110</v>
      </c>
      <c r="F33" s="426"/>
      <c r="G33" s="319">
        <f>'Valuation output'!B22</f>
        <v>0</v>
      </c>
      <c r="H33" s="409"/>
      <c r="I33" s="424"/>
      <c r="J33" s="424"/>
      <c r="K33" s="424"/>
    </row>
    <row r="34" spans="1:11">
      <c r="A34" s="374" t="s">
        <v>644</v>
      </c>
      <c r="B34" s="375"/>
      <c r="C34" s="376"/>
      <c r="D34" s="295">
        <f>'Valuation output'!B25+'Valuation output'!B26</f>
        <v>8942</v>
      </c>
      <c r="E34" s="296"/>
      <c r="F34" s="297"/>
      <c r="G34" s="298"/>
      <c r="H34" s="423"/>
      <c r="I34" s="424"/>
      <c r="J34" s="424"/>
      <c r="K34" s="424"/>
    </row>
    <row r="35" spans="1:11">
      <c r="A35" s="374" t="s">
        <v>645</v>
      </c>
      <c r="B35" s="375"/>
      <c r="C35" s="376"/>
      <c r="D35" s="295">
        <f>'Valuation output'!B27+'Valuation output'!B28</f>
        <v>6638</v>
      </c>
      <c r="E35" s="296"/>
      <c r="F35" s="297"/>
      <c r="G35" s="298"/>
      <c r="H35" s="423"/>
      <c r="I35" s="424"/>
      <c r="J35" s="424"/>
      <c r="K35" s="424"/>
    </row>
    <row r="36" spans="1:11">
      <c r="A36" s="374" t="s">
        <v>53</v>
      </c>
      <c r="B36" s="375"/>
      <c r="C36" s="376"/>
      <c r="D36" s="295">
        <f>D32-D33-D34+D35</f>
        <v>142016.93480757452</v>
      </c>
      <c r="E36" s="296"/>
      <c r="F36" s="297"/>
      <c r="G36" s="298"/>
      <c r="H36" s="423"/>
      <c r="I36" s="424"/>
      <c r="J36" s="424"/>
      <c r="K36" s="424"/>
    </row>
    <row r="37" spans="1:11">
      <c r="A37" s="374" t="s">
        <v>646</v>
      </c>
      <c r="B37" s="375"/>
      <c r="C37" s="376"/>
      <c r="D37" s="295">
        <f>'Valuation output'!B30</f>
        <v>0</v>
      </c>
      <c r="E37" s="296"/>
      <c r="F37" s="297"/>
      <c r="G37" s="298"/>
      <c r="H37" s="423"/>
      <c r="I37" s="424"/>
      <c r="J37" s="424"/>
      <c r="K37" s="424"/>
    </row>
    <row r="38" spans="1:11" ht="17" thickBot="1">
      <c r="A38" s="427" t="s">
        <v>640</v>
      </c>
      <c r="B38" s="428"/>
      <c r="C38" s="428"/>
      <c r="D38" s="303">
        <f>'Valuation output'!B32</f>
        <v>310.06</v>
      </c>
      <c r="E38" s="297"/>
      <c r="F38" s="300"/>
      <c r="G38" s="298"/>
      <c r="H38" s="423"/>
      <c r="I38" s="424"/>
      <c r="J38" s="424"/>
      <c r="K38" s="424"/>
    </row>
    <row r="39" spans="1:11" ht="17" thickBot="1">
      <c r="A39" s="429" t="s">
        <v>617</v>
      </c>
      <c r="B39" s="430"/>
      <c r="C39" s="430"/>
      <c r="D39" s="271">
        <f>(D36-D37)/D38</f>
        <v>458.03049347730928</v>
      </c>
      <c r="E39" s="431" t="s">
        <v>647</v>
      </c>
      <c r="F39" s="432"/>
      <c r="G39" s="315">
        <f>'Input sheet'!B19</f>
        <v>343.09</v>
      </c>
      <c r="H39" s="423"/>
      <c r="I39" s="424"/>
      <c r="J39" s="424"/>
      <c r="K39" s="424"/>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7" sqref="B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95</v>
      </c>
      <c r="B1" s="147"/>
    </row>
    <row r="2" spans="1:4" s="144" customFormat="1" ht="13">
      <c r="A2" s="147" t="s">
        <v>7</v>
      </c>
      <c r="B2" s="148">
        <f>'Valuation output'!B39</f>
        <v>22853.8</v>
      </c>
    </row>
    <row r="3" spans="1:4" s="144" customFormat="1" ht="13">
      <c r="A3" s="147" t="s">
        <v>8</v>
      </c>
      <c r="B3" s="148">
        <f>'Valuation output'!L39</f>
        <v>38107.019868019415</v>
      </c>
    </row>
    <row r="4" spans="1:4" s="144" customFormat="1" ht="13">
      <c r="A4" s="147" t="s">
        <v>9</v>
      </c>
      <c r="B4" s="148">
        <f>B3-B2</f>
        <v>15253.219868019416</v>
      </c>
    </row>
    <row r="5" spans="1:4" s="144" customFormat="1" ht="13">
      <c r="A5" s="147" t="s">
        <v>10</v>
      </c>
      <c r="B5" s="148">
        <f>'Valuation output'!L5-'Valuation output'!B5</f>
        <v>2828.4707849937713</v>
      </c>
    </row>
    <row r="6" spans="1:4" s="144" customFormat="1" ht="13">
      <c r="A6" s="147" t="s">
        <v>4</v>
      </c>
      <c r="B6" s="149">
        <f>B5/B4</f>
        <v>0.18543434169752379</v>
      </c>
    </row>
    <row r="7" spans="1:4" s="144" customFormat="1" ht="13">
      <c r="A7" s="147" t="s">
        <v>5</v>
      </c>
      <c r="B7" s="149">
        <f>'Valuation output'!L40</f>
        <v>0.21267480681549683</v>
      </c>
    </row>
    <row r="8" spans="1:4" s="144" customFormat="1" ht="13">
      <c r="A8" s="147" t="s">
        <v>238</v>
      </c>
      <c r="B8" s="149">
        <f>(1/'Valuation output'!L13)^(1/10)-1</f>
        <v>6.1909519789931755E-2</v>
      </c>
    </row>
    <row r="9" spans="1:4" s="144" customFormat="1" ht="14" thickBot="1">
      <c r="A9" s="150" t="s">
        <v>28</v>
      </c>
      <c r="B9" s="151">
        <f>'Valuation output'!B33/'Valuation output'!B34</f>
        <v>1.3350155745644272</v>
      </c>
    </row>
    <row r="10" spans="1:4" s="144" customFormat="1" ht="14" thickBot="1">
      <c r="A10" s="152"/>
      <c r="B10" s="433" t="str">
        <f>IF(B9="NA","Value is negative. See below",IF(B9&gt;2,"Value seems high. See below",IF(B9&lt;0.5,"Value seems low. See below"," ")))</f>
        <v xml:space="preserve"> </v>
      </c>
      <c r="C10" s="434"/>
    </row>
    <row r="11" spans="1:4" s="8" customFormat="1" ht="15">
      <c r="A11" s="211" t="s">
        <v>6</v>
      </c>
      <c r="B11" s="212" t="s">
        <v>0</v>
      </c>
      <c r="C11" s="213" t="s">
        <v>1</v>
      </c>
    </row>
    <row r="12" spans="1:4" s="8" customFormat="1" ht="15">
      <c r="A12" s="222" t="s">
        <v>152</v>
      </c>
      <c r="B12" s="214" t="s">
        <v>2</v>
      </c>
      <c r="C12" s="215" t="s">
        <v>3</v>
      </c>
    </row>
    <row r="13" spans="1:4" s="8" customFormat="1" ht="15">
      <c r="A13" s="222" t="s">
        <v>153</v>
      </c>
      <c r="B13" s="216" t="s">
        <v>150</v>
      </c>
      <c r="C13" s="217" t="s">
        <v>151</v>
      </c>
      <c r="D13" s="8" t="s">
        <v>157</v>
      </c>
    </row>
    <row r="14" spans="1:4" s="8" customFormat="1" ht="14">
      <c r="A14" s="223" t="s">
        <v>154</v>
      </c>
      <c r="B14" s="218" t="s">
        <v>148</v>
      </c>
      <c r="C14" s="219" t="s">
        <v>149</v>
      </c>
      <c r="D14" s="8" t="s">
        <v>157</v>
      </c>
    </row>
    <row r="15" spans="1:4" s="8" customFormat="1" ht="15" thickBot="1">
      <c r="A15" s="224" t="s">
        <v>159</v>
      </c>
      <c r="B15" s="220" t="s">
        <v>155</v>
      </c>
      <c r="C15" s="221" t="s">
        <v>156</v>
      </c>
      <c r="D15" s="8" t="s">
        <v>158</v>
      </c>
    </row>
    <row r="16" spans="1:4">
      <c r="B16" s="79"/>
    </row>
  </sheetData>
  <mergeCells count="1">
    <mergeCell ref="B10:C10"/>
  </mergeCells>
  <phoneticPr fontId="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25" workbookViewId="0">
      <selection activeCell="E30" sqref="E30"/>
    </sheetView>
  </sheetViews>
  <sheetFormatPr baseColWidth="10" defaultRowHeight="13"/>
  <sheetData>
    <row r="1" spans="1:8" s="329" customFormat="1" ht="46" thickBot="1">
      <c r="A1" s="328" t="s">
        <v>118</v>
      </c>
      <c r="B1" s="328" t="s">
        <v>11</v>
      </c>
      <c r="C1" s="328" t="s">
        <v>660</v>
      </c>
      <c r="D1" s="328" t="s">
        <v>676</v>
      </c>
      <c r="E1" s="328" t="s">
        <v>661</v>
      </c>
      <c r="F1" s="328" t="s">
        <v>48</v>
      </c>
      <c r="G1" s="328" t="s">
        <v>662</v>
      </c>
      <c r="H1" s="328" t="s">
        <v>663</v>
      </c>
    </row>
    <row r="2" spans="1:8" s="329" customFormat="1" ht="12">
      <c r="A2" s="329" t="s">
        <v>675</v>
      </c>
      <c r="B2" s="330">
        <f>'Valuation output'!B3</f>
        <v>38121</v>
      </c>
      <c r="D2" s="331">
        <f>'Valuation output'!B4</f>
        <v>0.20926523438524697</v>
      </c>
      <c r="E2" s="330">
        <f>B2*D2</f>
        <v>7977.4</v>
      </c>
      <c r="F2" s="330">
        <f>'Valuation output'!B10</f>
        <v>0</v>
      </c>
      <c r="G2" s="330">
        <f>E2-H2</f>
        <v>1866.7115999999996</v>
      </c>
      <c r="H2" s="330">
        <f>'Valuation output'!B7</f>
        <v>6110.6884</v>
      </c>
    </row>
    <row r="3" spans="1:8" s="329" customFormat="1" ht="12">
      <c r="A3" s="329">
        <v>1</v>
      </c>
      <c r="B3" s="330">
        <f>'Valuation output'!C3</f>
        <v>42695.520000000004</v>
      </c>
      <c r="C3" s="331">
        <f>'Valuation output'!C2</f>
        <v>0.12</v>
      </c>
      <c r="D3" s="331">
        <f>'Valuation output'!C4</f>
        <v>0.2</v>
      </c>
      <c r="E3" s="330">
        <f>B3*D3</f>
        <v>8539.1040000000012</v>
      </c>
      <c r="F3" s="330">
        <f>'Valuation output'!C10</f>
        <v>0</v>
      </c>
      <c r="G3" s="330">
        <f t="shared" ref="G3:G12" si="0">E3-H3</f>
        <v>1998.1503360000006</v>
      </c>
      <c r="H3" s="330">
        <f>'Valuation output'!C7</f>
        <v>6540.9536640000006</v>
      </c>
    </row>
    <row r="4" spans="1:8" s="329" customFormat="1" ht="12">
      <c r="A4" s="329">
        <v>2</v>
      </c>
      <c r="B4" s="333">
        <f>'Valuation output'!D3</f>
        <v>45257.251200000006</v>
      </c>
      <c r="C4" s="331">
        <f>B4/B3-1</f>
        <v>6.0000000000000053E-2</v>
      </c>
      <c r="D4" s="331">
        <f>'Valuation output'!D4</f>
        <v>0.188</v>
      </c>
      <c r="E4" s="330">
        <f t="shared" ref="E4:E12" si="1">B4*D4</f>
        <v>8508.3632256000019</v>
      </c>
      <c r="F4" s="330">
        <f>'Valuation output'!D10</f>
        <v>0</v>
      </c>
      <c r="G4" s="330">
        <f t="shared" si="0"/>
        <v>1990.9569947904001</v>
      </c>
      <c r="H4" s="330">
        <f>'Valuation output'!D7</f>
        <v>6517.4062308096018</v>
      </c>
    </row>
    <row r="5" spans="1:8" s="329" customFormat="1" ht="12">
      <c r="A5" s="329">
        <v>3</v>
      </c>
      <c r="B5" s="330">
        <f>'Valuation output'!E3</f>
        <v>47972.686272000006</v>
      </c>
      <c r="C5" s="331">
        <f t="shared" ref="C5:C12" si="2">B5/B4-1</f>
        <v>6.0000000000000053E-2</v>
      </c>
      <c r="D5" s="331">
        <f>'Valuation output'!E4</f>
        <v>0.18200000000000002</v>
      </c>
      <c r="E5" s="330">
        <f t="shared" si="1"/>
        <v>8731.0289015040016</v>
      </c>
      <c r="F5" s="330">
        <f>'Valuation output'!E10</f>
        <v>0</v>
      </c>
      <c r="G5" s="330">
        <f t="shared" si="0"/>
        <v>2043.0607629519363</v>
      </c>
      <c r="H5" s="330">
        <f>'Valuation output'!E7</f>
        <v>6687.9681385520653</v>
      </c>
    </row>
    <row r="6" spans="1:8" s="329" customFormat="1" ht="12">
      <c r="A6" s="329">
        <v>4</v>
      </c>
      <c r="B6" s="330">
        <f>'Valuation output'!F3</f>
        <v>50851.047448320009</v>
      </c>
      <c r="C6" s="331">
        <f t="shared" si="2"/>
        <v>6.0000000000000053E-2</v>
      </c>
      <c r="D6" s="331">
        <f>'Valuation output'!F4</f>
        <v>0.17600000000000002</v>
      </c>
      <c r="E6" s="330">
        <f t="shared" si="1"/>
        <v>8949.7843509043232</v>
      </c>
      <c r="F6" s="330">
        <f>'Valuation output'!F10</f>
        <v>0</v>
      </c>
      <c r="G6" s="330">
        <f t="shared" si="0"/>
        <v>2094.2495381116114</v>
      </c>
      <c r="H6" s="330">
        <f>'Valuation output'!F7</f>
        <v>6855.5348127927118</v>
      </c>
    </row>
    <row r="7" spans="1:8" s="329" customFormat="1" ht="12">
      <c r="A7" s="329">
        <v>5</v>
      </c>
      <c r="B7" s="330">
        <f>'Valuation output'!G3</f>
        <v>53902.110295219209</v>
      </c>
      <c r="C7" s="331">
        <f t="shared" si="2"/>
        <v>6.0000000000000053E-2</v>
      </c>
      <c r="D7" s="331">
        <f>'Valuation output'!G4</f>
        <v>0.17</v>
      </c>
      <c r="E7" s="330">
        <f t="shared" si="1"/>
        <v>9163.3587501872662</v>
      </c>
      <c r="F7" s="330">
        <f>'Valuation output'!G10</f>
        <v>0</v>
      </c>
      <c r="G7" s="330">
        <f t="shared" si="0"/>
        <v>2144.2259475438204</v>
      </c>
      <c r="H7" s="330">
        <f>'Valuation output'!G7</f>
        <v>7019.1328026434458</v>
      </c>
    </row>
    <row r="8" spans="1:8" s="329" customFormat="1" ht="12">
      <c r="A8" s="329">
        <v>6</v>
      </c>
      <c r="B8" s="330">
        <f>'Valuation output'!H3</f>
        <v>56661.898342334425</v>
      </c>
      <c r="C8" s="331">
        <f t="shared" si="2"/>
        <v>5.1199999999999912E-2</v>
      </c>
      <c r="D8" s="331">
        <f>'Valuation output'!H4</f>
        <v>0.17</v>
      </c>
      <c r="E8" s="330">
        <f t="shared" si="1"/>
        <v>9632.522718196853</v>
      </c>
      <c r="F8" s="330">
        <f>'Valuation output'!H10</f>
        <v>0</v>
      </c>
      <c r="G8" s="330">
        <f t="shared" si="0"/>
        <v>2284.8343887562933</v>
      </c>
      <c r="H8" s="330">
        <f>'Valuation output'!H7</f>
        <v>7347.6883294405598</v>
      </c>
    </row>
    <row r="9" spans="1:8" s="329" customFormat="1" ht="12">
      <c r="A9" s="329">
        <v>7</v>
      </c>
      <c r="B9" s="330">
        <f>'Valuation output'!I3</f>
        <v>59064.362832049403</v>
      </c>
      <c r="C9" s="331">
        <f t="shared" si="2"/>
        <v>4.2399999999999993E-2</v>
      </c>
      <c r="D9" s="331">
        <f>'Valuation output'!I4</f>
        <v>0.17</v>
      </c>
      <c r="E9" s="330">
        <f t="shared" si="1"/>
        <v>10040.941681448399</v>
      </c>
      <c r="F9" s="330">
        <f>'Valuation output'!I10</f>
        <v>0</v>
      </c>
      <c r="G9" s="330">
        <f t="shared" si="0"/>
        <v>2413.842380220196</v>
      </c>
      <c r="H9" s="330">
        <f>'Valuation output'!I7</f>
        <v>7627.0993012282033</v>
      </c>
    </row>
    <row r="10" spans="1:8" s="329" customFormat="1" ht="12">
      <c r="A10" s="329">
        <v>8</v>
      </c>
      <c r="B10" s="330">
        <f>'Valuation output'!J3</f>
        <v>61048.925423206267</v>
      </c>
      <c r="C10" s="331">
        <f t="shared" si="2"/>
        <v>3.3600000000000074E-2</v>
      </c>
      <c r="D10" s="331">
        <f>'Valuation output'!J4</f>
        <v>0.17</v>
      </c>
      <c r="E10" s="330">
        <f t="shared" si="1"/>
        <v>10378.317321945065</v>
      </c>
      <c r="F10" s="330">
        <f>'Valuation output'!J10</f>
        <v>0</v>
      </c>
      <c r="G10" s="330">
        <f t="shared" si="0"/>
        <v>2528.1580996258181</v>
      </c>
      <c r="H10" s="330">
        <f>'Valuation output'!J7</f>
        <v>7850.1592223192474</v>
      </c>
    </row>
    <row r="11" spans="1:8" s="329" customFormat="1" ht="12">
      <c r="A11" s="329">
        <v>9</v>
      </c>
      <c r="B11" s="330">
        <f>'Valuation output'!K3</f>
        <v>62562.938773701775</v>
      </c>
      <c r="C11" s="331">
        <f t="shared" si="2"/>
        <v>2.4799999999999933E-2</v>
      </c>
      <c r="D11" s="331">
        <f>'Valuation output'!K4</f>
        <v>0.17</v>
      </c>
      <c r="E11" s="330">
        <f t="shared" si="1"/>
        <v>10635.699591529303</v>
      </c>
      <c r="F11" s="330">
        <f>'Valuation output'!K10</f>
        <v>0</v>
      </c>
      <c r="G11" s="330">
        <f t="shared" si="0"/>
        <v>2624.890659189432</v>
      </c>
      <c r="H11" s="330">
        <f>'Valuation output'!K7</f>
        <v>8010.8089323398708</v>
      </c>
    </row>
    <row r="12" spans="1:8" s="329" customFormat="1" ht="12">
      <c r="A12" s="329">
        <v>10</v>
      </c>
      <c r="B12" s="330">
        <f>'Valuation output'!L3</f>
        <v>63563.945794081003</v>
      </c>
      <c r="C12" s="331">
        <f t="shared" si="2"/>
        <v>1.6000000000000014E-2</v>
      </c>
      <c r="D12" s="331">
        <f>'Valuation output'!L4</f>
        <v>0.17</v>
      </c>
      <c r="E12" s="330">
        <f t="shared" si="1"/>
        <v>10805.870784993771</v>
      </c>
      <c r="F12" s="330">
        <f>'Valuation output'!L10</f>
        <v>0</v>
      </c>
      <c r="G12" s="330">
        <f t="shared" si="0"/>
        <v>2701.4676962484427</v>
      </c>
      <c r="H12" s="330">
        <f>'Valuation output'!L7</f>
        <v>8104.4030887453282</v>
      </c>
    </row>
    <row r="13" spans="1:8" s="329" customFormat="1" thickBot="1"/>
    <row r="14" spans="1:8" s="329" customFormat="1" ht="46" thickBot="1">
      <c r="A14" s="328" t="s">
        <v>118</v>
      </c>
      <c r="B14" s="328" t="s">
        <v>663</v>
      </c>
      <c r="C14" s="328" t="s">
        <v>664</v>
      </c>
      <c r="D14" s="328" t="s">
        <v>665</v>
      </c>
      <c r="E14" s="328" t="s">
        <v>666</v>
      </c>
      <c r="F14" s="328" t="s">
        <v>16</v>
      </c>
      <c r="G14" s="328" t="s">
        <v>667</v>
      </c>
      <c r="H14" s="328" t="s">
        <v>668</v>
      </c>
    </row>
    <row r="15" spans="1:8" s="329" customFormat="1" ht="12">
      <c r="A15" s="329" t="str">
        <f>A2</f>
        <v>Traling 12 month</v>
      </c>
      <c r="B15" s="330">
        <f>H2</f>
        <v>6110.6884</v>
      </c>
      <c r="G15" s="335">
        <f>'Valuation output'!B39</f>
        <v>22853.8</v>
      </c>
      <c r="H15" s="336">
        <f>B15/G15</f>
        <v>0.26738172207685373</v>
      </c>
    </row>
    <row r="16" spans="1:8" s="329" customFormat="1" ht="12">
      <c r="A16" s="329">
        <f t="shared" ref="A16:A24" si="3">A3</f>
        <v>1</v>
      </c>
      <c r="B16" s="330">
        <f t="shared" ref="B16:B25" si="4">H3</f>
        <v>6540.9536640000006</v>
      </c>
      <c r="C16" s="330">
        <f>B3-B2</f>
        <v>4574.5200000000041</v>
      </c>
      <c r="D16" s="334">
        <f>'Valuation output'!C38</f>
        <v>1.6680377005137002</v>
      </c>
      <c r="E16" s="330">
        <f>C16/D16</f>
        <v>2742.4560000000024</v>
      </c>
      <c r="F16" s="330">
        <f>B16-E16</f>
        <v>3798.4976639999982</v>
      </c>
      <c r="G16" s="330">
        <f>G15+E16</f>
        <v>25596.256000000001</v>
      </c>
      <c r="H16" s="336">
        <f t="shared" ref="H16:H25" si="5">B16/G16</f>
        <v>0.2555433757186989</v>
      </c>
    </row>
    <row r="17" spans="1:8" s="329" customFormat="1" ht="12">
      <c r="A17" s="329">
        <f t="shared" si="3"/>
        <v>2</v>
      </c>
      <c r="B17" s="330">
        <f t="shared" si="4"/>
        <v>6517.4062308096018</v>
      </c>
      <c r="C17" s="330">
        <f t="shared" ref="C17:C25" si="6">B4-B3</f>
        <v>2561.731200000002</v>
      </c>
      <c r="D17" s="334">
        <f>'Valuation output'!D38</f>
        <v>1.6680377005137002</v>
      </c>
      <c r="E17" s="330">
        <f t="shared" ref="E17:E25" si="7">C17/D17</f>
        <v>1535.7753600000012</v>
      </c>
      <c r="F17" s="330">
        <f t="shared" ref="F17:F25" si="8">B17-E17</f>
        <v>4981.6308708096003</v>
      </c>
      <c r="G17" s="330">
        <f t="shared" ref="G17:G25" si="9">G16+E17</f>
        <v>27132.031360000001</v>
      </c>
      <c r="H17" s="336">
        <f t="shared" si="5"/>
        <v>0.24021077317557699</v>
      </c>
    </row>
    <row r="18" spans="1:8" s="329" customFormat="1" ht="12">
      <c r="A18" s="329">
        <f t="shared" si="3"/>
        <v>3</v>
      </c>
      <c r="B18" s="330">
        <f t="shared" si="4"/>
        <v>6687.9681385520653</v>
      </c>
      <c r="C18" s="330">
        <f t="shared" si="6"/>
        <v>2715.4350720000002</v>
      </c>
      <c r="D18" s="334">
        <f>'Valuation output'!E38</f>
        <v>1.6680377005137002</v>
      </c>
      <c r="E18" s="330">
        <f t="shared" si="7"/>
        <v>1627.9218816</v>
      </c>
      <c r="F18" s="330">
        <f t="shared" si="8"/>
        <v>5060.0462569520651</v>
      </c>
      <c r="G18" s="330">
        <f t="shared" si="9"/>
        <v>28759.9532416</v>
      </c>
      <c r="H18" s="336">
        <f t="shared" si="5"/>
        <v>0.232544471904016</v>
      </c>
    </row>
    <row r="19" spans="1:8" s="329" customFormat="1" ht="12">
      <c r="A19" s="329">
        <f t="shared" si="3"/>
        <v>4</v>
      </c>
      <c r="B19" s="330">
        <f t="shared" si="4"/>
        <v>6855.5348127927118</v>
      </c>
      <c r="C19" s="330">
        <f t="shared" si="6"/>
        <v>2878.3611763200024</v>
      </c>
      <c r="D19" s="334">
        <f>'Valuation output'!F38</f>
        <v>1.6680377005137002</v>
      </c>
      <c r="E19" s="330">
        <f t="shared" si="7"/>
        <v>1725.5971944960015</v>
      </c>
      <c r="F19" s="330">
        <f t="shared" si="8"/>
        <v>5129.9376182967098</v>
      </c>
      <c r="G19" s="330">
        <f t="shared" si="9"/>
        <v>30485.550436096</v>
      </c>
      <c r="H19" s="336">
        <f t="shared" si="5"/>
        <v>0.22487817063245508</v>
      </c>
    </row>
    <row r="20" spans="1:8" s="329" customFormat="1" ht="12">
      <c r="A20" s="329">
        <f t="shared" si="3"/>
        <v>5</v>
      </c>
      <c r="B20" s="330">
        <f t="shared" si="4"/>
        <v>7019.1328026434458</v>
      </c>
      <c r="C20" s="330">
        <f t="shared" si="6"/>
        <v>3051.0628468991999</v>
      </c>
      <c r="D20" s="334">
        <f>'Valuation output'!G38</f>
        <v>1.6680377005137002</v>
      </c>
      <c r="E20" s="330">
        <f t="shared" si="7"/>
        <v>1829.1330261657599</v>
      </c>
      <c r="F20" s="330">
        <f t="shared" si="8"/>
        <v>5189.9997764776854</v>
      </c>
      <c r="G20" s="330">
        <f t="shared" si="9"/>
        <v>32314.683462261761</v>
      </c>
      <c r="H20" s="336">
        <f t="shared" si="5"/>
        <v>0.21721186936089407</v>
      </c>
    </row>
    <row r="21" spans="1:8" s="329" customFormat="1" ht="12">
      <c r="A21" s="329">
        <f t="shared" si="3"/>
        <v>6</v>
      </c>
      <c r="B21" s="330">
        <f t="shared" si="4"/>
        <v>7347.6883294405598</v>
      </c>
      <c r="C21" s="330">
        <f t="shared" si="6"/>
        <v>2759.7880471152166</v>
      </c>
      <c r="D21" s="334">
        <f>'Valuation output'!H38</f>
        <v>1.6680377005137002</v>
      </c>
      <c r="E21" s="330">
        <f t="shared" si="7"/>
        <v>1654.5117932677983</v>
      </c>
      <c r="F21" s="330">
        <f t="shared" si="8"/>
        <v>5693.1765361727612</v>
      </c>
      <c r="G21" s="330">
        <f t="shared" si="9"/>
        <v>33969.195255529557</v>
      </c>
      <c r="H21" s="336">
        <f t="shared" si="5"/>
        <v>0.21630445685181465</v>
      </c>
    </row>
    <row r="22" spans="1:8" s="329" customFormat="1" ht="12">
      <c r="A22" s="329">
        <f t="shared" si="3"/>
        <v>7</v>
      </c>
      <c r="B22" s="330">
        <f t="shared" si="4"/>
        <v>7627.0993012282033</v>
      </c>
      <c r="C22" s="330">
        <f t="shared" si="6"/>
        <v>2402.4644897149774</v>
      </c>
      <c r="D22" s="334">
        <f>'Valuation output'!I38</f>
        <v>1.6680377005137002</v>
      </c>
      <c r="E22" s="330">
        <f t="shared" si="7"/>
        <v>1440.293878834452</v>
      </c>
      <c r="F22" s="330">
        <f t="shared" si="8"/>
        <v>6186.8054223937515</v>
      </c>
      <c r="G22" s="330">
        <f t="shared" si="9"/>
        <v>35409.489134364012</v>
      </c>
      <c r="H22" s="336">
        <f t="shared" si="5"/>
        <v>0.21539704434273516</v>
      </c>
    </row>
    <row r="23" spans="1:8" s="329" customFormat="1" ht="12">
      <c r="A23" s="329">
        <f t="shared" si="3"/>
        <v>8</v>
      </c>
      <c r="B23" s="330">
        <f t="shared" si="4"/>
        <v>7850.1592223192474</v>
      </c>
      <c r="C23" s="330">
        <f t="shared" si="6"/>
        <v>1984.5625911568641</v>
      </c>
      <c r="D23" s="334">
        <f>'Valuation output'!J38</f>
        <v>1.6680377005137002</v>
      </c>
      <c r="E23" s="330">
        <f t="shared" si="7"/>
        <v>1189.7588349146333</v>
      </c>
      <c r="F23" s="330">
        <f t="shared" si="8"/>
        <v>6660.4003874046139</v>
      </c>
      <c r="G23" s="330">
        <f t="shared" si="9"/>
        <v>36599.247969278644</v>
      </c>
      <c r="H23" s="336">
        <f t="shared" si="5"/>
        <v>0.21448963183365571</v>
      </c>
    </row>
    <row r="24" spans="1:8" s="329" customFormat="1" ht="12">
      <c r="A24" s="329">
        <f t="shared" si="3"/>
        <v>9</v>
      </c>
      <c r="B24" s="330">
        <f t="shared" si="4"/>
        <v>8010.8089323398708</v>
      </c>
      <c r="C24" s="330">
        <f t="shared" si="6"/>
        <v>1514.0133504955083</v>
      </c>
      <c r="D24" s="334">
        <f>'Valuation output'!K38</f>
        <v>1.6680377005137002</v>
      </c>
      <c r="E24" s="330">
        <f t="shared" si="7"/>
        <v>907.66134963810623</v>
      </c>
      <c r="F24" s="330">
        <f t="shared" si="8"/>
        <v>7103.1475827017648</v>
      </c>
      <c r="G24" s="330">
        <f t="shared" si="9"/>
        <v>37506.909318916747</v>
      </c>
      <c r="H24" s="336">
        <f t="shared" si="5"/>
        <v>0.21358221932457627</v>
      </c>
    </row>
    <row r="25" spans="1:8" s="329" customFormat="1" ht="12">
      <c r="A25" s="329">
        <f>A12</f>
        <v>10</v>
      </c>
      <c r="B25" s="330">
        <f t="shared" si="4"/>
        <v>8104.4030887453282</v>
      </c>
      <c r="C25" s="330">
        <f t="shared" si="6"/>
        <v>1001.0070203792275</v>
      </c>
      <c r="D25" s="334">
        <f>'Valuation output'!L38</f>
        <v>1.6680377005137002</v>
      </c>
      <c r="E25" s="330">
        <f t="shared" si="7"/>
        <v>600.11054910266751</v>
      </c>
      <c r="F25" s="330">
        <f t="shared" si="8"/>
        <v>7504.2925396426608</v>
      </c>
      <c r="G25" s="330">
        <f t="shared" si="9"/>
        <v>38107.019868019415</v>
      </c>
      <c r="H25" s="336">
        <f t="shared" si="5"/>
        <v>0.21267480681549683</v>
      </c>
    </row>
    <row r="26" spans="1:8" s="329" customFormat="1" thickBot="1"/>
    <row r="27" spans="1:8" s="329" customFormat="1" ht="31" thickBot="1">
      <c r="A27" s="328" t="s">
        <v>118</v>
      </c>
      <c r="B27" s="328" t="s">
        <v>475</v>
      </c>
      <c r="C27" s="328" t="s">
        <v>669</v>
      </c>
      <c r="D27" s="328" t="s">
        <v>670</v>
      </c>
      <c r="E27" s="328" t="s">
        <v>671</v>
      </c>
      <c r="F27" s="328" t="s">
        <v>672</v>
      </c>
      <c r="G27" s="328" t="s">
        <v>673</v>
      </c>
      <c r="H27" s="328" t="s">
        <v>674</v>
      </c>
    </row>
    <row r="28" spans="1:8">
      <c r="A28">
        <f>A16</f>
        <v>1</v>
      </c>
      <c r="H28" s="324">
        <f>'Valuation output'!C12</f>
        <v>6.5000000000000002E-2</v>
      </c>
    </row>
    <row r="29" spans="1:8">
      <c r="A29">
        <f t="shared" ref="A29:A37" si="10">A17</f>
        <v>2</v>
      </c>
      <c r="H29" s="324">
        <f>'Valuation output'!D12</f>
        <v>6.5000000000000002E-2</v>
      </c>
    </row>
    <row r="30" spans="1:8">
      <c r="A30">
        <f t="shared" si="10"/>
        <v>3</v>
      </c>
      <c r="H30" s="324">
        <f>'Valuation output'!E12</f>
        <v>6.5000000000000002E-2</v>
      </c>
    </row>
    <row r="31" spans="1:8">
      <c r="A31">
        <f t="shared" si="10"/>
        <v>4</v>
      </c>
      <c r="H31" s="324">
        <f>'Valuation output'!F12</f>
        <v>6.5000000000000002E-2</v>
      </c>
    </row>
    <row r="32" spans="1:8">
      <c r="A32">
        <f t="shared" si="10"/>
        <v>5</v>
      </c>
      <c r="H32" s="324">
        <f>'Valuation output'!G12</f>
        <v>6.5000000000000002E-2</v>
      </c>
    </row>
    <row r="33" spans="1:8">
      <c r="A33">
        <f t="shared" si="10"/>
        <v>6</v>
      </c>
      <c r="H33" s="324">
        <f>'Valuation output'!H12</f>
        <v>6.2944E-2</v>
      </c>
    </row>
    <row r="34" spans="1:8">
      <c r="A34">
        <f t="shared" si="10"/>
        <v>7</v>
      </c>
      <c r="H34" s="324">
        <f>'Valuation output'!I12</f>
        <v>6.0887999999999998E-2</v>
      </c>
    </row>
    <row r="35" spans="1:8">
      <c r="A35">
        <f t="shared" si="10"/>
        <v>8</v>
      </c>
      <c r="H35" s="324">
        <f>'Valuation output'!J12</f>
        <v>5.8831999999999995E-2</v>
      </c>
    </row>
    <row r="36" spans="1:8">
      <c r="A36">
        <f t="shared" si="10"/>
        <v>9</v>
      </c>
      <c r="H36" s="324">
        <f>'Valuation output'!K12</f>
        <v>5.6775999999999993E-2</v>
      </c>
    </row>
    <row r="37" spans="1:8">
      <c r="A37">
        <f t="shared" si="10"/>
        <v>10</v>
      </c>
      <c r="H37" s="324">
        <f>'Valuation output'!L12</f>
        <v>5.4719999999999991E-2</v>
      </c>
    </row>
    <row r="38" spans="1:8" ht="14" thickBot="1"/>
    <row r="39" spans="1:8" ht="31" thickBot="1">
      <c r="A39" s="328" t="s">
        <v>118</v>
      </c>
      <c r="B39" s="328" t="s">
        <v>674</v>
      </c>
      <c r="C39" s="328" t="s">
        <v>677</v>
      </c>
      <c r="D39" s="328" t="s">
        <v>16</v>
      </c>
      <c r="E39" s="328" t="s">
        <v>678</v>
      </c>
      <c r="F39" s="328" t="s">
        <v>128</v>
      </c>
    </row>
    <row r="40" spans="1:8">
      <c r="A40">
        <f>A28</f>
        <v>1</v>
      </c>
      <c r="B40" s="337">
        <f>H28</f>
        <v>6.5000000000000002E-2</v>
      </c>
      <c r="C40" s="338">
        <f>(1+'Summary Sheet'!B40)</f>
        <v>1.0649999999999999</v>
      </c>
      <c r="D40" s="332">
        <f>F16</f>
        <v>3798.4976639999982</v>
      </c>
      <c r="F40" s="332">
        <f>D40/C40</f>
        <v>3566.6644732394352</v>
      </c>
    </row>
    <row r="41" spans="1:8">
      <c r="A41">
        <f t="shared" ref="A41:A49" si="11">A29</f>
        <v>2</v>
      </c>
      <c r="B41" s="337">
        <f t="shared" ref="B41:B49" si="12">H29</f>
        <v>6.5000000000000002E-2</v>
      </c>
      <c r="C41" s="338">
        <f>C40*(1+B41)</f>
        <v>1.1342249999999998</v>
      </c>
      <c r="D41" s="332">
        <f t="shared" ref="D41:D49" si="13">F17</f>
        <v>4981.6308708096003</v>
      </c>
      <c r="F41" s="332">
        <f t="shared" ref="F41:F48" si="14">D41/C41</f>
        <v>4392.1011005837472</v>
      </c>
    </row>
    <row r="42" spans="1:8">
      <c r="A42">
        <f t="shared" si="11"/>
        <v>3</v>
      </c>
      <c r="B42" s="337">
        <f t="shared" si="12"/>
        <v>6.5000000000000002E-2</v>
      </c>
      <c r="C42" s="338">
        <f t="shared" ref="C42:C49" si="15">C41*(1+B42)</f>
        <v>1.2079496249999997</v>
      </c>
      <c r="D42" s="332">
        <f t="shared" si="13"/>
        <v>5060.0462569520651</v>
      </c>
      <c r="F42" s="332">
        <f t="shared" si="14"/>
        <v>4188.954698298835</v>
      </c>
    </row>
    <row r="43" spans="1:8">
      <c r="A43">
        <f t="shared" si="11"/>
        <v>4</v>
      </c>
      <c r="B43" s="337">
        <f t="shared" si="12"/>
        <v>6.5000000000000002E-2</v>
      </c>
      <c r="C43" s="338">
        <f t="shared" si="15"/>
        <v>1.2864663506249996</v>
      </c>
      <c r="D43" s="332">
        <f t="shared" si="13"/>
        <v>5129.9376182967098</v>
      </c>
      <c r="F43" s="332">
        <f t="shared" si="14"/>
        <v>3987.6189655519943</v>
      </c>
    </row>
    <row r="44" spans="1:8">
      <c r="A44">
        <f t="shared" si="11"/>
        <v>5</v>
      </c>
      <c r="B44" s="337">
        <f t="shared" si="12"/>
        <v>6.5000000000000002E-2</v>
      </c>
      <c r="C44" s="338">
        <f t="shared" si="15"/>
        <v>1.3700866634156246</v>
      </c>
      <c r="D44" s="332">
        <f t="shared" si="13"/>
        <v>5189.9997764776854</v>
      </c>
      <c r="F44" s="332">
        <f t="shared" si="14"/>
        <v>3788.0813783991016</v>
      </c>
    </row>
    <row r="45" spans="1:8">
      <c r="A45">
        <f t="shared" si="11"/>
        <v>6</v>
      </c>
      <c r="B45" s="337">
        <f t="shared" si="12"/>
        <v>6.2944E-2</v>
      </c>
      <c r="C45" s="338">
        <f t="shared" si="15"/>
        <v>1.4563253983576574</v>
      </c>
      <c r="D45" s="332">
        <f t="shared" si="13"/>
        <v>5693.1765361727612</v>
      </c>
      <c r="F45" s="332">
        <f t="shared" si="14"/>
        <v>3909.2750442951351</v>
      </c>
    </row>
    <row r="46" spans="1:8">
      <c r="A46">
        <f t="shared" si="11"/>
        <v>7</v>
      </c>
      <c r="B46" s="337">
        <f t="shared" si="12"/>
        <v>6.0887999999999998E-2</v>
      </c>
      <c r="C46" s="338">
        <f t="shared" si="15"/>
        <v>1.5449981392128584</v>
      </c>
      <c r="D46" s="332">
        <f t="shared" si="13"/>
        <v>6186.8054223937515</v>
      </c>
      <c r="F46" s="332">
        <f t="shared" si="14"/>
        <v>4004.4096270211617</v>
      </c>
    </row>
    <row r="47" spans="1:8">
      <c r="A47">
        <f t="shared" si="11"/>
        <v>8</v>
      </c>
      <c r="B47" s="337">
        <f t="shared" si="12"/>
        <v>5.8831999999999995E-2</v>
      </c>
      <c r="C47" s="338">
        <f t="shared" si="15"/>
        <v>1.6358934697390293</v>
      </c>
      <c r="D47" s="332">
        <f t="shared" si="13"/>
        <v>6660.4003874046139</v>
      </c>
      <c r="F47" s="332">
        <f t="shared" si="14"/>
        <v>4071.4144964874358</v>
      </c>
    </row>
    <row r="48" spans="1:8">
      <c r="A48">
        <f t="shared" si="11"/>
        <v>9</v>
      </c>
      <c r="B48" s="337">
        <f t="shared" si="12"/>
        <v>5.6775999999999993E-2</v>
      </c>
      <c r="C48" s="338">
        <f t="shared" si="15"/>
        <v>1.7287729573769324</v>
      </c>
      <c r="D48" s="332">
        <f t="shared" si="13"/>
        <v>7103.1475827017648</v>
      </c>
      <c r="F48" s="332">
        <f t="shared" si="14"/>
        <v>4108.7799021795045</v>
      </c>
    </row>
    <row r="49" spans="1:6">
      <c r="A49">
        <f t="shared" si="11"/>
        <v>10</v>
      </c>
      <c r="B49" s="337">
        <f t="shared" si="12"/>
        <v>5.4719999999999991E-2</v>
      </c>
      <c r="C49" s="338">
        <f t="shared" si="15"/>
        <v>1.8233714136045982</v>
      </c>
      <c r="D49" s="332">
        <f t="shared" si="13"/>
        <v>7504.2925396426608</v>
      </c>
      <c r="E49" s="332">
        <f>'Valuation output'!B18</f>
        <v>189973.45973039669</v>
      </c>
      <c r="F49" s="332">
        <f>(D49+E49)/C49</f>
        <v>108303.63512151825</v>
      </c>
    </row>
    <row r="50" spans="1:6">
      <c r="A50" t="s">
        <v>44</v>
      </c>
      <c r="F50" s="332">
        <f>SUM(F40:F49)</f>
        <v>144320.93480757461</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D4" sqref="D4"/>
    </sheetView>
  </sheetViews>
  <sheetFormatPr baseColWidth="10" defaultRowHeight="13"/>
  <sheetData>
    <row r="1" spans="1:7" s="7" customFormat="1" ht="19">
      <c r="A1" s="6" t="s">
        <v>61</v>
      </c>
      <c r="B1" s="6"/>
    </row>
    <row r="2" spans="1:7" ht="14">
      <c r="A2" s="8" t="s">
        <v>62</v>
      </c>
      <c r="B2" s="8"/>
      <c r="D2" s="28">
        <f>'Input sheet'!B19</f>
        <v>343.09</v>
      </c>
    </row>
    <row r="3" spans="1:7" ht="14">
      <c r="A3" s="8" t="s">
        <v>63</v>
      </c>
      <c r="B3" s="8"/>
      <c r="D3" s="9">
        <f>'Input sheet'!B35</f>
        <v>18</v>
      </c>
    </row>
    <row r="4" spans="1:7" ht="14">
      <c r="A4" s="8" t="s">
        <v>64</v>
      </c>
      <c r="B4" s="8"/>
      <c r="D4" s="12">
        <f>'Input sheet'!B36</f>
        <v>5</v>
      </c>
    </row>
    <row r="5" spans="1:7" ht="14">
      <c r="A5" s="8" t="s">
        <v>65</v>
      </c>
      <c r="B5" s="8"/>
      <c r="D5" s="10">
        <f>'Input sheet'!B37</f>
        <v>0.49</v>
      </c>
      <c r="E5" s="8" t="s">
        <v>66</v>
      </c>
    </row>
    <row r="6" spans="1:7" ht="14">
      <c r="A6" s="8" t="s">
        <v>67</v>
      </c>
      <c r="B6" s="8"/>
      <c r="D6" s="11">
        <v>0.02</v>
      </c>
    </row>
    <row r="7" spans="1:7" ht="14">
      <c r="A7" s="8" t="s">
        <v>68</v>
      </c>
      <c r="B7" s="8"/>
      <c r="D7" s="11">
        <f>'Input sheet'!B30</f>
        <v>1.6E-2</v>
      </c>
    </row>
    <row r="8" spans="1:7" ht="14">
      <c r="A8" s="8" t="s">
        <v>69</v>
      </c>
      <c r="B8" s="8"/>
      <c r="D8" s="12">
        <f>'Input sheet'!B34</f>
        <v>3.5</v>
      </c>
    </row>
    <row r="9" spans="1:7" ht="14">
      <c r="A9" s="8" t="s">
        <v>70</v>
      </c>
      <c r="B9" s="8"/>
      <c r="D9" s="13">
        <f>'Input sheet'!B18</f>
        <v>310.06</v>
      </c>
    </row>
    <row r="10" spans="1:7" ht="14">
      <c r="A10" s="8"/>
      <c r="B10" s="8"/>
    </row>
    <row r="11" spans="1:7" s="16" customFormat="1" ht="14">
      <c r="A11" s="14" t="s">
        <v>71</v>
      </c>
      <c r="B11" s="15"/>
    </row>
    <row r="12" spans="1:7" s="8" customFormat="1" ht="14">
      <c r="A12" s="17" t="s">
        <v>72</v>
      </c>
    </row>
    <row r="13" spans="1:7" s="8" customFormat="1" ht="14">
      <c r="A13" s="8" t="s">
        <v>73</v>
      </c>
      <c r="C13" s="18">
        <f>D2</f>
        <v>343.09</v>
      </c>
      <c r="D13" s="8" t="s">
        <v>74</v>
      </c>
      <c r="F13" s="19">
        <f>D8</f>
        <v>3.5</v>
      </c>
      <c r="G13" s="20"/>
    </row>
    <row r="14" spans="1:7" s="8" customFormat="1" ht="14">
      <c r="A14" s="8" t="s">
        <v>75</v>
      </c>
      <c r="C14" s="18">
        <f>D3</f>
        <v>18</v>
      </c>
      <c r="D14" s="8" t="s">
        <v>76</v>
      </c>
      <c r="F14" s="21">
        <f>D9</f>
        <v>310.06</v>
      </c>
      <c r="G14" s="20"/>
    </row>
    <row r="15" spans="1:7" s="8" customFormat="1" ht="14">
      <c r="A15" s="8" t="s">
        <v>77</v>
      </c>
      <c r="C15" s="18">
        <f ca="1">(C13*F14+C26*F13)/(F14+F13)</f>
        <v>9.9853386464771763</v>
      </c>
      <c r="D15" s="8" t="s">
        <v>78</v>
      </c>
      <c r="F15" s="22">
        <f>D7</f>
        <v>1.6E-2</v>
      </c>
    </row>
    <row r="16" spans="1:7" s="8" customFormat="1" ht="14">
      <c r="A16" s="8" t="s">
        <v>79</v>
      </c>
      <c r="C16" s="18">
        <f>C14</f>
        <v>18</v>
      </c>
      <c r="D16" s="8" t="s">
        <v>80</v>
      </c>
      <c r="F16" s="23">
        <f>D5^2</f>
        <v>0.24009999999999998</v>
      </c>
    </row>
    <row r="17" spans="1:7" s="8" customFormat="1" ht="14">
      <c r="A17" s="8" t="s">
        <v>81</v>
      </c>
      <c r="C17" s="18">
        <f>D4</f>
        <v>5</v>
      </c>
      <c r="D17" s="8" t="s">
        <v>82</v>
      </c>
      <c r="F17" s="22">
        <f>D6</f>
        <v>0.02</v>
      </c>
    </row>
    <row r="18" spans="1:7" s="8" customFormat="1" ht="14">
      <c r="C18" s="17"/>
      <c r="D18" s="8" t="s">
        <v>83</v>
      </c>
      <c r="F18" s="24">
        <f>F15-F17</f>
        <v>-4.0000000000000001E-3</v>
      </c>
    </row>
    <row r="19" spans="1:7" s="8" customFormat="1" ht="14"/>
    <row r="20" spans="1:7" s="8" customFormat="1" ht="14">
      <c r="A20" s="8" t="s">
        <v>84</v>
      </c>
      <c r="B20" s="19">
        <f ca="1">(LN(C15/C16)+(F18+(F16/2))*C17)/(((F16)^(0.5))*(C17^0.5))</f>
        <v>-2.1907876997536015E-2</v>
      </c>
    </row>
    <row r="21" spans="1:7" s="8" customFormat="1" ht="14">
      <c r="A21" s="8" t="s">
        <v>85</v>
      </c>
      <c r="B21" s="19">
        <f ca="1">NORMSDIST(B20)</f>
        <v>0.49126072067435028</v>
      </c>
    </row>
    <row r="22" spans="1:7" s="8" customFormat="1" ht="14"/>
    <row r="23" spans="1:7" s="8" customFormat="1" ht="15.75" customHeight="1">
      <c r="A23" s="8" t="s">
        <v>86</v>
      </c>
      <c r="B23" s="19">
        <f ca="1">B20-((F16^0.5)*(C17^(0.5)))</f>
        <v>-1.1175811859724329</v>
      </c>
    </row>
    <row r="24" spans="1:7" s="8" customFormat="1" ht="14">
      <c r="A24" s="8" t="s">
        <v>87</v>
      </c>
      <c r="B24" s="19">
        <f ca="1">NORMSDIST(B23)</f>
        <v>0.13187295390447729</v>
      </c>
    </row>
    <row r="25" spans="1:7" ht="15" thickBot="1">
      <c r="A25" s="8"/>
      <c r="B25" s="8"/>
    </row>
    <row r="26" spans="1:7" s="8" customFormat="1" ht="15" thickBot="1">
      <c r="A26" s="8" t="s">
        <v>88</v>
      </c>
      <c r="C26" s="25">
        <f ca="1">((EXP((0-F17)*C17))*C15*B21-C16*(EXP((0-F15)*C17))*B24)</f>
        <v>2.2142643073951191</v>
      </c>
      <c r="G26" s="26"/>
    </row>
    <row r="27" spans="1:7" s="8" customFormat="1" ht="15" thickBot="1">
      <c r="A27" s="8" t="s">
        <v>89</v>
      </c>
      <c r="D27" s="27">
        <f ca="1">C26*D8</f>
        <v>7.749925075882917</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workbookViewId="0">
      <selection activeCell="H17" sqref="H17"/>
    </sheetView>
  </sheetViews>
  <sheetFormatPr baseColWidth="10" defaultRowHeight="13"/>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36" t="s">
        <v>731</v>
      </c>
      <c r="B1" s="436"/>
      <c r="C1" s="436"/>
      <c r="D1" s="436"/>
      <c r="E1" s="436"/>
      <c r="F1" s="436"/>
      <c r="G1" s="436"/>
      <c r="H1" s="436"/>
      <c r="I1" s="436"/>
      <c r="J1" s="436"/>
      <c r="K1" s="436"/>
    </row>
    <row r="2" spans="1:17">
      <c r="A2" s="436"/>
      <c r="B2" s="436"/>
      <c r="C2" s="436"/>
      <c r="D2" s="436"/>
      <c r="E2" s="436"/>
      <c r="F2" s="436"/>
      <c r="G2" s="436"/>
      <c r="H2" s="436"/>
      <c r="I2" s="436"/>
      <c r="J2" s="436"/>
      <c r="K2" s="436"/>
    </row>
    <row r="3" spans="1:17" s="112" customFormat="1" ht="19">
      <c r="A3" s="112" t="s">
        <v>181</v>
      </c>
      <c r="B3" s="244"/>
      <c r="C3" s="238"/>
      <c r="G3" s="129" t="s">
        <v>600</v>
      </c>
    </row>
    <row r="4" spans="1:17" s="14" customFormat="1" ht="15" customHeight="1">
      <c r="A4" s="14" t="s">
        <v>6</v>
      </c>
      <c r="B4" s="243"/>
      <c r="C4" s="238"/>
      <c r="G4" s="164" t="s">
        <v>352</v>
      </c>
      <c r="H4" s="164" t="s">
        <v>11</v>
      </c>
      <c r="I4" s="164" t="s">
        <v>379</v>
      </c>
      <c r="J4" s="164" t="s">
        <v>381</v>
      </c>
      <c r="K4" s="164" t="s">
        <v>380</v>
      </c>
    </row>
    <row r="5" spans="1:17" s="8" customFormat="1" ht="15" customHeight="1">
      <c r="A5" s="113" t="s">
        <v>182</v>
      </c>
      <c r="B5" s="114"/>
      <c r="G5" s="162" t="s">
        <v>378</v>
      </c>
      <c r="H5" s="162">
        <v>21000</v>
      </c>
      <c r="I5" s="123">
        <f>IF(H5=0,0,VLOOKUP(G5,'Country equity risk premiums'!$A$5:$D$190,4))</f>
        <v>4.8399999999999999E-2</v>
      </c>
      <c r="J5" s="123">
        <f t="shared" ref="J5:J12" si="0">IF(H5&gt;0,H5/$H$18,)</f>
        <v>0.6</v>
      </c>
      <c r="K5" s="123">
        <f t="shared" ref="K5:K12" si="1">IF(J5=0,0,I5*J5)</f>
        <v>2.9039999999999996E-2</v>
      </c>
      <c r="M5" s="435" t="s">
        <v>657</v>
      </c>
      <c r="N5" s="435"/>
      <c r="O5" s="435"/>
      <c r="P5" s="435"/>
      <c r="Q5" s="435"/>
    </row>
    <row r="6" spans="1:17" s="8" customFormat="1" ht="15" customHeight="1">
      <c r="A6" s="114" t="s">
        <v>183</v>
      </c>
      <c r="B6" s="120">
        <f>'Input sheet'!B18</f>
        <v>310.06</v>
      </c>
      <c r="G6" s="230" t="s">
        <v>346</v>
      </c>
      <c r="H6" s="162"/>
      <c r="I6" s="123">
        <f>IF(H6=0,0,VLOOKUP(G6,'Country equity risk premiums'!$A$5:$D$190,4))</f>
        <v>0</v>
      </c>
      <c r="J6" s="123">
        <f t="shared" si="0"/>
        <v>0</v>
      </c>
      <c r="K6" s="123">
        <f t="shared" si="1"/>
        <v>0</v>
      </c>
      <c r="M6" s="435"/>
      <c r="N6" s="435"/>
      <c r="O6" s="435"/>
      <c r="P6" s="435"/>
      <c r="Q6" s="435"/>
    </row>
    <row r="7" spans="1:17" s="8" customFormat="1" ht="15" customHeight="1">
      <c r="A7" s="114" t="s">
        <v>184</v>
      </c>
      <c r="B7" s="121">
        <f>'Input sheet'!B19</f>
        <v>343.09</v>
      </c>
      <c r="G7" s="230" t="s">
        <v>299</v>
      </c>
      <c r="H7" s="162"/>
      <c r="I7" s="123">
        <f>IF(H7=0,0,VLOOKUP(G7,'Country equity risk premiums'!$A$5:$D$190,4))</f>
        <v>0</v>
      </c>
      <c r="J7" s="123">
        <f t="shared" si="0"/>
        <v>0</v>
      </c>
      <c r="K7" s="123">
        <f t="shared" si="1"/>
        <v>0</v>
      </c>
      <c r="M7" s="435"/>
      <c r="N7" s="435"/>
      <c r="O7" s="435"/>
      <c r="P7" s="435"/>
      <c r="Q7" s="435"/>
    </row>
    <row r="8" spans="1:17" s="8" customFormat="1" ht="15" customHeight="1">
      <c r="B8" s="116"/>
      <c r="G8" s="230" t="s">
        <v>265</v>
      </c>
      <c r="H8" s="162"/>
      <c r="I8" s="123">
        <f>IF(H8=0,0,VLOOKUP(G8,'Country equity risk premiums'!$A$5:$D$190,4))</f>
        <v>0</v>
      </c>
      <c r="J8" s="123">
        <f t="shared" si="0"/>
        <v>0</v>
      </c>
      <c r="K8" s="123">
        <f t="shared" si="1"/>
        <v>0</v>
      </c>
      <c r="M8" s="435"/>
      <c r="N8" s="435"/>
      <c r="O8" s="435"/>
      <c r="P8" s="435"/>
      <c r="Q8" s="435"/>
    </row>
    <row r="9" spans="1:17" s="8" customFormat="1" ht="15" customHeight="1">
      <c r="A9" s="8" t="s">
        <v>474</v>
      </c>
      <c r="B9" s="230" t="s">
        <v>480</v>
      </c>
      <c r="G9" s="230" t="s">
        <v>760</v>
      </c>
      <c r="H9" s="174"/>
      <c r="I9" s="123">
        <f>IF(H9=0,0,VLOOKUP(G9,'Country equity risk premiums'!$A$5:$D$190,4))</f>
        <v>0</v>
      </c>
      <c r="J9" s="123">
        <f t="shared" si="0"/>
        <v>0</v>
      </c>
      <c r="K9" s="123">
        <f t="shared" si="1"/>
        <v>0</v>
      </c>
      <c r="M9" s="435"/>
      <c r="N9" s="435"/>
      <c r="O9" s="435"/>
      <c r="P9" s="435"/>
      <c r="Q9" s="435"/>
    </row>
    <row r="10" spans="1:17" s="8" customFormat="1" ht="15" customHeight="1">
      <c r="A10" s="8" t="s">
        <v>476</v>
      </c>
      <c r="B10" s="239">
        <v>1.2</v>
      </c>
      <c r="G10" s="230" t="s">
        <v>484</v>
      </c>
      <c r="H10" s="162"/>
      <c r="I10" s="123">
        <f>IF(H10=0,0,VLOOKUP(G10,'Country equity risk premiums'!$A$5:$D$190,4))</f>
        <v>0</v>
      </c>
      <c r="J10" s="123">
        <f t="shared" si="0"/>
        <v>0</v>
      </c>
      <c r="K10" s="123">
        <f t="shared" si="1"/>
        <v>0</v>
      </c>
      <c r="M10" s="435"/>
      <c r="N10" s="435"/>
      <c r="O10" s="435"/>
      <c r="P10" s="435"/>
      <c r="Q10" s="435"/>
    </row>
    <row r="11" spans="1:17" s="8" customFormat="1" ht="15" customHeight="1">
      <c r="A11" s="8" t="s">
        <v>209</v>
      </c>
      <c r="B11" s="167">
        <f>IF(B9="Single Business(US)",VLOOKUP('Input sheet'!B6,'Industry Average Beta (US)'!A2:G95,7),IF(B9="Multibusiness(US)",K48,IF(B9="Single Business(Global)",VLOOKUP('Input sheet'!B7,'Industry Average Beta (Global)'!A2:G95,7),'Cost of capital worksheet'!K64)))</f>
        <v>0.95764855095064716</v>
      </c>
      <c r="G11" s="230" t="s">
        <v>271</v>
      </c>
      <c r="H11" s="162"/>
      <c r="I11" s="123">
        <f>IF(H11=0,0,VLOOKUP(G11,'Country equity risk premiums'!$A$5:$D$190,4))</f>
        <v>0</v>
      </c>
      <c r="J11" s="123">
        <f t="shared" si="0"/>
        <v>0</v>
      </c>
      <c r="K11" s="123">
        <f t="shared" si="1"/>
        <v>0</v>
      </c>
      <c r="M11" s="435"/>
      <c r="N11" s="435"/>
      <c r="O11" s="435"/>
      <c r="P11" s="435"/>
      <c r="Q11" s="435"/>
    </row>
    <row r="12" spans="1:17" s="8" customFormat="1" ht="15" customHeight="1">
      <c r="A12" s="8" t="s">
        <v>185</v>
      </c>
      <c r="B12" s="125">
        <f>'Input sheet'!B30</f>
        <v>1.6E-2</v>
      </c>
      <c r="G12" s="230"/>
      <c r="H12" s="162"/>
      <c r="I12" s="123">
        <f>IF(H12=0,0,VLOOKUP(G12,'Country equity risk premiums'!$A$5:$D$190,4))</f>
        <v>0</v>
      </c>
      <c r="J12" s="123">
        <f t="shared" si="0"/>
        <v>0</v>
      </c>
      <c r="K12" s="123">
        <f t="shared" si="1"/>
        <v>0</v>
      </c>
      <c r="M12" s="435"/>
      <c r="N12" s="435"/>
      <c r="O12" s="435"/>
      <c r="P12" s="435"/>
      <c r="Q12" s="435"/>
    </row>
    <row r="13" spans="1:17" s="8" customFormat="1" ht="15" customHeight="1">
      <c r="A13" s="8" t="s">
        <v>440</v>
      </c>
      <c r="B13" s="231" t="s">
        <v>445</v>
      </c>
      <c r="G13" s="230"/>
      <c r="H13" s="162"/>
      <c r="I13" s="123">
        <f>IF(H13=0,0,VLOOKUP(G13,'Country equity risk premiums'!$A$5:$D$190,4))</f>
        <v>0</v>
      </c>
      <c r="J13" s="123">
        <f>IF(H13&gt;0,H13/$H$18,)</f>
        <v>0</v>
      </c>
      <c r="K13" s="123">
        <f>IF(J13=0,0,I13*J13)</f>
        <v>0</v>
      </c>
      <c r="M13" s="435"/>
      <c r="N13" s="435"/>
      <c r="O13" s="435"/>
      <c r="P13" s="435"/>
      <c r="Q13" s="435"/>
    </row>
    <row r="14" spans="1:17" s="8" customFormat="1" ht="15" customHeight="1">
      <c r="A14" s="8" t="s">
        <v>446</v>
      </c>
      <c r="B14" s="231">
        <v>0.06</v>
      </c>
      <c r="G14" s="230"/>
      <c r="H14" s="230"/>
      <c r="I14" s="123">
        <f>IF(H14=0,0,VLOOKUP(G14,'Country equity risk premiums'!$A$5:$D$190,4))</f>
        <v>0</v>
      </c>
      <c r="J14" s="123">
        <f>IF(H14&gt;0,H14/$H$18,)</f>
        <v>0</v>
      </c>
      <c r="K14" s="123">
        <f>IF(J14=0,0,I14*J14)</f>
        <v>0</v>
      </c>
      <c r="M14" s="435"/>
      <c r="N14" s="435"/>
      <c r="O14" s="435"/>
      <c r="P14" s="435"/>
      <c r="Q14" s="435"/>
    </row>
    <row r="15" spans="1:17" s="8" customFormat="1" ht="15" customHeight="1">
      <c r="A15" s="8" t="s">
        <v>447</v>
      </c>
      <c r="B15" s="233">
        <f>IF(B13="Will Input",B14,IF(B13="Country of Incorporation",VLOOKUP('Input sheet'!B5,'Country equity risk premiums'!A5:E190,4),IF(B13="Operating regions",'Cost of capital worksheet'!K32,'Cost of capital worksheet'!K18)))</f>
        <v>4.8399999999999999E-2</v>
      </c>
      <c r="G15" s="230"/>
      <c r="H15" s="230"/>
      <c r="I15" s="123">
        <f>IF(H15=0,0,VLOOKUP(G15,'Country equity risk premiums'!$A$5:$D$190,4))</f>
        <v>0</v>
      </c>
      <c r="J15" s="123">
        <f>IF(H15&gt;0,H15/$H$18,)</f>
        <v>0</v>
      </c>
      <c r="K15" s="123">
        <f>IF(J15=0,0,I15*J15)</f>
        <v>0</v>
      </c>
      <c r="M15" s="435"/>
      <c r="N15" s="435"/>
      <c r="O15" s="435"/>
      <c r="P15" s="435"/>
      <c r="Q15" s="435"/>
    </row>
    <row r="16" spans="1:17" s="8" customFormat="1" ht="15" customHeight="1">
      <c r="B16" s="116"/>
      <c r="G16" s="321" t="s">
        <v>738</v>
      </c>
      <c r="H16" s="162">
        <v>14000</v>
      </c>
      <c r="I16" s="342">
        <v>7.3899999999999993E-2</v>
      </c>
      <c r="J16" s="123">
        <f>IF(H16&gt;0,H16/$H$18,)</f>
        <v>0.4</v>
      </c>
      <c r="K16" s="123">
        <f>IF(J16=0,0,I16*J16)</f>
        <v>2.9559999999999999E-2</v>
      </c>
      <c r="M16" s="435"/>
      <c r="N16" s="435"/>
      <c r="O16" s="435"/>
      <c r="P16" s="435"/>
      <c r="Q16" s="435"/>
    </row>
    <row r="17" spans="1:17" s="8" customFormat="1" ht="15" customHeight="1">
      <c r="A17" s="17" t="s">
        <v>186</v>
      </c>
      <c r="B17" s="116"/>
      <c r="G17" s="321"/>
      <c r="H17" s="162"/>
      <c r="I17" s="321"/>
      <c r="J17" s="123">
        <f>IF(H17&gt;0,H17/$H$18,)</f>
        <v>0</v>
      </c>
      <c r="K17" s="123">
        <f>IF(J17=0,0,I17*J17)</f>
        <v>0</v>
      </c>
      <c r="M17" s="435"/>
      <c r="N17" s="435"/>
      <c r="O17" s="435"/>
      <c r="P17" s="435"/>
      <c r="Q17" s="435"/>
    </row>
    <row r="18" spans="1:17" s="8" customFormat="1" ht="15" customHeight="1">
      <c r="A18" s="8" t="s">
        <v>187</v>
      </c>
      <c r="B18" s="121">
        <f>'Input sheet'!B12</f>
        <v>8940</v>
      </c>
      <c r="G18" s="163" t="s">
        <v>382</v>
      </c>
      <c r="H18" s="163">
        <f>SUM(H5:H17)</f>
        <v>35000</v>
      </c>
      <c r="I18" s="163"/>
      <c r="J18" s="123">
        <f>SUM(J5:J17)</f>
        <v>1</v>
      </c>
      <c r="K18" s="123">
        <f>SUM(K5:K17)</f>
        <v>5.8599999999999999E-2</v>
      </c>
      <c r="M18" s="435"/>
      <c r="N18" s="435"/>
      <c r="O18" s="435"/>
      <c r="P18" s="435"/>
      <c r="Q18" s="435"/>
    </row>
    <row r="19" spans="1:17" s="8" customFormat="1" ht="15" customHeight="1">
      <c r="A19" s="8" t="s">
        <v>188</v>
      </c>
      <c r="B19" s="121">
        <f>'Input sheet'!B10</f>
        <v>327</v>
      </c>
      <c r="G19" s="129" t="s">
        <v>448</v>
      </c>
      <c r="M19" s="435"/>
      <c r="N19" s="435"/>
      <c r="O19" s="435"/>
      <c r="P19" s="435"/>
      <c r="Q19" s="435"/>
    </row>
    <row r="20" spans="1:17" s="8" customFormat="1" ht="15" customHeight="1">
      <c r="A20" s="8" t="s">
        <v>189</v>
      </c>
      <c r="B20" s="115">
        <v>4</v>
      </c>
      <c r="G20" s="19" t="s">
        <v>355</v>
      </c>
      <c r="H20" s="19" t="s">
        <v>11</v>
      </c>
      <c r="I20" s="19" t="s">
        <v>379</v>
      </c>
      <c r="J20" s="19" t="s">
        <v>381</v>
      </c>
      <c r="K20" s="19" t="s">
        <v>380</v>
      </c>
    </row>
    <row r="21" spans="1:17" s="8" customFormat="1" ht="15" customHeight="1">
      <c r="A21" s="8" t="s">
        <v>453</v>
      </c>
      <c r="B21" s="132" t="s">
        <v>452</v>
      </c>
      <c r="G21" s="19" t="str">
        <f>'Country equity risk premiums'!A194</f>
        <v>Africa</v>
      </c>
      <c r="H21" s="230"/>
      <c r="I21" s="24">
        <f>'Country equity risk premiums'!B194</f>
        <v>0.14219429830834002</v>
      </c>
      <c r="J21" s="123">
        <f t="shared" ref="J21:J29" si="2">H21/$H$32</f>
        <v>0</v>
      </c>
      <c r="K21" s="165">
        <f>I21*J21</f>
        <v>0</v>
      </c>
    </row>
    <row r="22" spans="1:17" s="8" customFormat="1" ht="15" customHeight="1">
      <c r="A22" s="8" t="s">
        <v>455</v>
      </c>
      <c r="B22" s="234">
        <v>0.04</v>
      </c>
      <c r="G22" s="19" t="str">
        <f>'Country equity risk premiums'!A195</f>
        <v>Asia</v>
      </c>
      <c r="H22" s="230"/>
      <c r="I22" s="24">
        <f>'Country equity risk premiums'!B195</f>
        <v>6.8667637387588298E-2</v>
      </c>
      <c r="J22" s="123">
        <f t="shared" si="2"/>
        <v>0</v>
      </c>
      <c r="K22" s="165">
        <f t="shared" ref="K22:K29" si="3">I22*J22</f>
        <v>0</v>
      </c>
    </row>
    <row r="23" spans="1:17" s="8" customFormat="1" ht="15" customHeight="1">
      <c r="A23" s="8" t="s">
        <v>454</v>
      </c>
      <c r="B23" s="132" t="s">
        <v>467</v>
      </c>
      <c r="G23" s="19" t="str">
        <f>'Country equity risk premiums'!A196</f>
        <v>Australia &amp; New Zealand</v>
      </c>
      <c r="H23" s="230"/>
      <c r="I23" s="24">
        <f>'Country equity risk premiums'!B196</f>
        <v>4.846499480710429E-2</v>
      </c>
      <c r="J23" s="123">
        <f t="shared" si="2"/>
        <v>0</v>
      </c>
      <c r="K23" s="165">
        <f t="shared" si="3"/>
        <v>0</v>
      </c>
    </row>
    <row r="24" spans="1:17" s="8" customFormat="1" ht="15" customHeight="1">
      <c r="A24" s="8" t="s">
        <v>471</v>
      </c>
      <c r="B24" s="132">
        <v>2</v>
      </c>
      <c r="G24" s="19" t="str">
        <f>'Country equity risk premiums'!A197</f>
        <v>Caribbean</v>
      </c>
      <c r="H24" s="230"/>
      <c r="I24" s="24">
        <f>'Country equity risk premiums'!B197</f>
        <v>0.15684417564714032</v>
      </c>
      <c r="J24" s="123">
        <f t="shared" si="2"/>
        <v>0</v>
      </c>
      <c r="K24" s="165">
        <f t="shared" si="3"/>
        <v>0</v>
      </c>
    </row>
    <row r="25" spans="1:17" s="8" customFormat="1" ht="15" customHeight="1">
      <c r="A25" s="8" t="s">
        <v>123</v>
      </c>
      <c r="B25" s="233">
        <f>IF(B21="Direct Input",B22,IF(B21="Synthetic Rating",'Synthetic rating'!D13,B12+VLOOKUP('Cost of capital worksheet'!B23,'Synthetic rating'!G39:H53,2)))</f>
        <v>2.6764000000000003E-2</v>
      </c>
      <c r="G25" s="19" t="str">
        <f>'Country equity risk premiums'!A198</f>
        <v>Central and South America</v>
      </c>
      <c r="H25" s="230"/>
      <c r="I25" s="24">
        <f>'Country equity risk premiums'!B198</f>
        <v>0.11400918714520372</v>
      </c>
      <c r="J25" s="123">
        <f t="shared" si="2"/>
        <v>0</v>
      </c>
      <c r="K25" s="165">
        <f t="shared" si="3"/>
        <v>0</v>
      </c>
    </row>
    <row r="26" spans="1:17" s="8" customFormat="1" ht="15" customHeight="1">
      <c r="A26" s="8" t="s">
        <v>190</v>
      </c>
      <c r="B26" s="236">
        <f>'Input sheet'!B21</f>
        <v>0.25</v>
      </c>
      <c r="G26" s="19" t="str">
        <f>'Country equity risk premiums'!A199</f>
        <v>Eastern Europe &amp; Russia</v>
      </c>
      <c r="H26" s="230"/>
      <c r="I26" s="24">
        <f>'Country equity risk premiums'!B199</f>
        <v>9.1181454350323987E-2</v>
      </c>
      <c r="J26" s="123">
        <f t="shared" si="2"/>
        <v>0</v>
      </c>
      <c r="K26" s="165">
        <f t="shared" si="3"/>
        <v>0</v>
      </c>
    </row>
    <row r="27" spans="1:17" s="8" customFormat="1" ht="15" customHeight="1">
      <c r="B27" s="116"/>
      <c r="G27" s="19" t="str">
        <f>'Country equity risk premiums'!A200</f>
        <v>Middle East</v>
      </c>
      <c r="H27" s="230"/>
      <c r="I27" s="24">
        <f>'Country equity risk premiums'!B200</f>
        <v>7.9910685372220541E-2</v>
      </c>
      <c r="J27" s="123">
        <f t="shared" si="2"/>
        <v>0</v>
      </c>
      <c r="K27" s="165">
        <f t="shared" si="3"/>
        <v>0</v>
      </c>
    </row>
    <row r="28" spans="1:17" s="8" customFormat="1" ht="15" customHeight="1">
      <c r="A28" s="8" t="s">
        <v>191</v>
      </c>
      <c r="B28" s="115">
        <v>0</v>
      </c>
      <c r="G28" s="19" t="str">
        <f>'Country equity risk premiums'!A201</f>
        <v>North America</v>
      </c>
      <c r="H28" s="230"/>
      <c r="I28" s="24">
        <f>'Country equity risk premiums'!B201</f>
        <v>4.8399999999999999E-2</v>
      </c>
      <c r="J28" s="123">
        <f t="shared" si="2"/>
        <v>0</v>
      </c>
      <c r="K28" s="165">
        <f t="shared" si="3"/>
        <v>0</v>
      </c>
    </row>
    <row r="29" spans="1:17" s="8" customFormat="1" ht="15" customHeight="1">
      <c r="A29" s="8" t="s">
        <v>192</v>
      </c>
      <c r="B29" s="115">
        <v>0</v>
      </c>
      <c r="G29" s="19" t="str">
        <f>'Country equity risk premiums'!A202</f>
        <v>Western Europe</v>
      </c>
      <c r="H29" s="230">
        <v>3000</v>
      </c>
      <c r="I29" s="24">
        <f>'Country equity risk premiums'!B202</f>
        <v>6.4623212142093642E-2</v>
      </c>
      <c r="J29" s="123">
        <f t="shared" si="2"/>
        <v>1</v>
      </c>
      <c r="K29" s="165">
        <f t="shared" si="3"/>
        <v>6.4623212142093642E-2</v>
      </c>
    </row>
    <row r="30" spans="1:17" s="8" customFormat="1" ht="15" customHeight="1">
      <c r="A30" s="8" t="s">
        <v>193</v>
      </c>
      <c r="B30" s="115">
        <v>0</v>
      </c>
      <c r="G30" s="230"/>
      <c r="H30" s="230"/>
      <c r="I30" s="322"/>
      <c r="J30" s="123">
        <f>H30/$H$32</f>
        <v>0</v>
      </c>
      <c r="K30" s="165">
        <f>I30*J30</f>
        <v>0</v>
      </c>
    </row>
    <row r="31" spans="1:17" s="8" customFormat="1" ht="15" customHeight="1">
      <c r="A31" s="8" t="s">
        <v>194</v>
      </c>
      <c r="B31" s="115">
        <v>0</v>
      </c>
      <c r="G31" s="230" t="s">
        <v>271</v>
      </c>
      <c r="H31" s="230"/>
      <c r="I31" s="322">
        <v>6.3799999999999996E-2</v>
      </c>
      <c r="J31" s="123">
        <f>H31/$H$32</f>
        <v>0</v>
      </c>
      <c r="K31" s="165">
        <f>I31*J31</f>
        <v>0</v>
      </c>
    </row>
    <row r="32" spans="1:17" s="8" customFormat="1" ht="15" customHeight="1">
      <c r="B32" s="116"/>
      <c r="G32" s="163" t="s">
        <v>382</v>
      </c>
      <c r="H32" s="163">
        <f>SUM(H21:H31)</f>
        <v>3000</v>
      </c>
      <c r="I32" s="125"/>
      <c r="J32" s="123">
        <f>SUM(J21:J31)</f>
        <v>1</v>
      </c>
      <c r="K32" s="166">
        <f>SUM(K21:K31)</f>
        <v>6.4623212142093642E-2</v>
      </c>
    </row>
    <row r="33" spans="1:11" s="8" customFormat="1" ht="15" customHeight="1">
      <c r="A33" s="8" t="s">
        <v>195</v>
      </c>
      <c r="B33" s="121">
        <f>IF('Input sheet'!B14="Yes",'Operating lease converter'!F33,0)</f>
        <v>0</v>
      </c>
    </row>
    <row r="34" spans="1:11" s="8" customFormat="1" ht="15" customHeight="1">
      <c r="B34" s="117"/>
      <c r="G34" s="112" t="s">
        <v>477</v>
      </c>
    </row>
    <row r="35" spans="1:11" s="8" customFormat="1" ht="15" customHeight="1">
      <c r="A35" s="17" t="s">
        <v>196</v>
      </c>
      <c r="B35" s="116"/>
      <c r="G35" s="19" t="s">
        <v>393</v>
      </c>
      <c r="H35" s="19" t="s">
        <v>11</v>
      </c>
      <c r="I35" s="19" t="s">
        <v>168</v>
      </c>
      <c r="J35" s="19" t="s">
        <v>394</v>
      </c>
      <c r="K35" s="19" t="s">
        <v>210</v>
      </c>
    </row>
    <row r="36" spans="1:11" s="8" customFormat="1" ht="15" customHeight="1">
      <c r="A36" s="8" t="s">
        <v>197</v>
      </c>
      <c r="B36" s="115">
        <v>0</v>
      </c>
      <c r="G36" s="230" t="s">
        <v>527</v>
      </c>
      <c r="H36" s="175">
        <v>25484</v>
      </c>
      <c r="I36" s="176">
        <f>IF(G36=0,,VLOOKUP(G36,'Industry Average Beta (US)'!$A$2:$S$95,15))</f>
        <v>5.1406397654346936</v>
      </c>
      <c r="J36" s="177">
        <f>H36*I36</f>
        <v>131004.06378233773</v>
      </c>
      <c r="K36" s="176">
        <f>IF(I36=0,0,VLOOKUP(G36,'Industry Average Beta (US)'!$A$2:$S$95,7))</f>
        <v>1.1394194094100192</v>
      </c>
    </row>
    <row r="37" spans="1:11" s="8" customFormat="1" ht="15" customHeight="1">
      <c r="A37" s="8" t="s">
        <v>198</v>
      </c>
      <c r="B37" s="115">
        <v>70</v>
      </c>
      <c r="G37" s="230" t="s">
        <v>537</v>
      </c>
      <c r="H37" s="175">
        <v>18805</v>
      </c>
      <c r="I37" s="176">
        <f>IF(G37=0,,VLOOKUP(G37,'Industry Average Beta (US)'!$A$2:$S$95,15))</f>
        <v>6.8089956450789391</v>
      </c>
      <c r="J37" s="177">
        <f>H37*I37</f>
        <v>128043.16310570945</v>
      </c>
      <c r="K37" s="176">
        <f>IF(I37=0,0,VLOOKUP(G37,'Industry Average Beta (US)'!$A$2:$S$95,7))</f>
        <v>0.83875643049493109</v>
      </c>
    </row>
    <row r="38" spans="1:11" s="8" customFormat="1" ht="15" customHeight="1">
      <c r="A38" s="8" t="s">
        <v>199</v>
      </c>
      <c r="B38" s="115">
        <v>5</v>
      </c>
      <c r="G38" s="230" t="s">
        <v>526</v>
      </c>
      <c r="H38" s="175">
        <v>37190</v>
      </c>
      <c r="I38" s="176">
        <f>IF(G38=0,,VLOOKUP(G38,'Industry Average Beta (US)'!$A$2:$S$95,15))</f>
        <v>1.4323282243264928</v>
      </c>
      <c r="J38" s="177">
        <f t="shared" ref="J38:J47" si="4">H38*I38</f>
        <v>53268.286662702267</v>
      </c>
      <c r="K38" s="176">
        <f>IF(I38=0,0,VLOOKUP(G38,'Industry Average Beta (US)'!$A$2:$S$95,7))</f>
        <v>0.94019446584590494</v>
      </c>
    </row>
    <row r="39" spans="1:11" s="8" customFormat="1" ht="15" customHeight="1">
      <c r="G39" s="230" t="s">
        <v>592</v>
      </c>
      <c r="H39" s="175">
        <v>166699</v>
      </c>
      <c r="I39" s="176">
        <f>IF(G39=0,,VLOOKUP(G39,'Industry Average Beta (US)'!$A$2:$S$95,15))</f>
        <v>3.5641828955814892</v>
      </c>
      <c r="J39" s="177">
        <f t="shared" si="4"/>
        <v>594145.72451053862</v>
      </c>
      <c r="K39" s="176">
        <f>IF(I39=0,0,VLOOKUP(G39,'Industry Average Beta (US)'!$A$2:$S$95,7))</f>
        <v>0.83218990324212128</v>
      </c>
    </row>
    <row r="40" spans="1:11" s="118" customFormat="1" ht="15" customHeight="1">
      <c r="A40" s="14" t="s">
        <v>122</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200</v>
      </c>
      <c r="B41" s="19"/>
      <c r="C41" s="122">
        <f>B19*(1-(1+B25)^(-B20))/B25+B18/(1+B25)^B20</f>
        <v>9268.6397406384822</v>
      </c>
      <c r="G41" s="230"/>
      <c r="H41" s="175"/>
      <c r="I41" s="176">
        <f>IF(G41=0,,VLOOKUP(G41,'Industry Average Beta (US)'!$A$2:$S$95,15))</f>
        <v>0</v>
      </c>
      <c r="J41" s="177">
        <f t="shared" si="4"/>
        <v>0</v>
      </c>
      <c r="K41" s="176">
        <f>IF(I41=0,0,VLOOKUP(G41,'Industry Average Beta (US)'!$A$2:$S$95,7))</f>
        <v>0</v>
      </c>
    </row>
    <row r="42" spans="1:11" s="8" customFormat="1" ht="15" customHeight="1">
      <c r="A42" s="19" t="s">
        <v>201</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202</v>
      </c>
      <c r="B43" s="19"/>
      <c r="C43" s="122">
        <f>B33</f>
        <v>0</v>
      </c>
      <c r="G43" s="230"/>
      <c r="H43" s="175"/>
      <c r="I43" s="176">
        <f>IF(G43=0,,VLOOKUP(G43,'Industry Average Beta (US)'!$A$2:$S$95,15))</f>
        <v>0</v>
      </c>
      <c r="J43" s="177">
        <f t="shared" si="4"/>
        <v>0</v>
      </c>
      <c r="K43" s="176">
        <f>IF(I43=0,0,VLOOKUP(G43,'Industry Average Beta (US)'!$A$2:$S$95,7))</f>
        <v>0</v>
      </c>
    </row>
    <row r="44" spans="1:11" ht="14">
      <c r="A44" s="19" t="s">
        <v>203</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211</v>
      </c>
      <c r="B45" s="19"/>
      <c r="C45" s="128">
        <f>IF(B9="Direct Input",B10,B11*(1+(1-B26)*(C48/B48)))</f>
        <v>1.0202276950101612</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182</v>
      </c>
      <c r="C47" s="119" t="s">
        <v>204</v>
      </c>
      <c r="D47" s="119" t="s">
        <v>196</v>
      </c>
      <c r="E47" s="119" t="s">
        <v>205</v>
      </c>
      <c r="F47" s="118"/>
      <c r="G47" s="230"/>
      <c r="H47" s="175"/>
      <c r="I47" s="176">
        <f>IF(G47=0,,VLOOKUP(G47,'Industry Average Beta (US)'!$A$2:$S$95,15))</f>
        <v>0</v>
      </c>
      <c r="J47" s="177">
        <f t="shared" si="4"/>
        <v>0</v>
      </c>
      <c r="K47" s="176">
        <f>IF(I47=0,0,VLOOKUP(G47,'Industry Average Beta (US)'!$A$2:$S$95,7))</f>
        <v>0</v>
      </c>
    </row>
    <row r="48" spans="1:11" ht="14">
      <c r="A48" s="19" t="s">
        <v>206</v>
      </c>
      <c r="B48" s="122">
        <f>B6*B7</f>
        <v>106378.48539999999</v>
      </c>
      <c r="C48" s="122">
        <f>C41+C42+C43</f>
        <v>9268.6397406384822</v>
      </c>
      <c r="D48" s="122">
        <f>B36*B37</f>
        <v>0</v>
      </c>
      <c r="E48" s="121">
        <f>SUM(B48:D48)</f>
        <v>115647.12514063847</v>
      </c>
      <c r="F48" s="8"/>
      <c r="G48" s="178" t="s">
        <v>239</v>
      </c>
      <c r="H48" s="179">
        <f>SUM(H36:H47)</f>
        <v>248178</v>
      </c>
      <c r="I48" s="180"/>
      <c r="J48" s="177">
        <f>SUM(J36:J47)</f>
        <v>906461.23806128814</v>
      </c>
      <c r="K48" s="180">
        <f>K36*(J36/J48)+K37*J37/J48+K38*J38/J48+K39*J39/J48+K40*J40/J48+K41*J41/J48+K42*J42/J48+K43*J43/J48+K44*J44/J48+K45*J45/J48+K46*J46/J48+K47*J47/J48</f>
        <v>0.88386594715520483</v>
      </c>
    </row>
    <row r="49" spans="1:11" ht="15" thickBot="1">
      <c r="A49" s="19" t="s">
        <v>207</v>
      </c>
      <c r="B49" s="123">
        <f>B48/$E$48</f>
        <v>0.91985412755079832</v>
      </c>
      <c r="C49" s="123">
        <f>C48/$E$48</f>
        <v>8.0145872449201738E-2</v>
      </c>
      <c r="D49" s="123">
        <f>D48/$E$48</f>
        <v>0</v>
      </c>
      <c r="E49" s="124">
        <f>SUM(B49:D49)</f>
        <v>1</v>
      </c>
      <c r="F49" s="8"/>
    </row>
    <row r="50" spans="1:11" ht="20" thickBot="1">
      <c r="A50" s="19" t="s">
        <v>208</v>
      </c>
      <c r="B50" s="125">
        <f>B12+C45*B15</f>
        <v>6.5379020438491808E-2</v>
      </c>
      <c r="C50" s="123">
        <f>B25*(1-B26)</f>
        <v>2.0073000000000001E-2</v>
      </c>
      <c r="D50" s="126">
        <f>B38/B37</f>
        <v>7.1428571428571425E-2</v>
      </c>
      <c r="E50" s="127">
        <f>B49*B50+C49*C50+D49*D50</f>
        <v>6.1747929903247518E-2</v>
      </c>
      <c r="F50" s="8"/>
      <c r="G50" s="240" t="s">
        <v>478</v>
      </c>
    </row>
    <row r="51" spans="1:11" ht="14">
      <c r="G51" s="19" t="s">
        <v>393</v>
      </c>
      <c r="H51" s="19" t="s">
        <v>11</v>
      </c>
      <c r="I51" s="19" t="s">
        <v>168</v>
      </c>
      <c r="J51" s="19" t="s">
        <v>394</v>
      </c>
      <c r="K51" s="19" t="s">
        <v>210</v>
      </c>
    </row>
    <row r="52" spans="1:11" ht="14">
      <c r="G52" s="230" t="s">
        <v>515</v>
      </c>
      <c r="H52" s="175">
        <f>25471+10067</f>
        <v>35538</v>
      </c>
      <c r="I52" s="176">
        <f>IF(G52=0,,VLOOKUP(G52,'Industry Average Beta (Global)'!$A$2:$O$95,15))</f>
        <v>5.863688719779713</v>
      </c>
      <c r="J52" s="177">
        <f>H52*I52</f>
        <v>208383.76972353144</v>
      </c>
      <c r="K52" s="176">
        <f>IF(G52=0,,VLOOKUP(G52,'Industry Average Beta (Global)'!$A$2:$O$95,7))</f>
        <v>0.7341539604842614</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239</v>
      </c>
      <c r="H64" s="179">
        <f>SUM(H52:H63)</f>
        <v>35538</v>
      </c>
      <c r="I64" s="180"/>
      <c r="J64" s="177">
        <f>SUM(J52:J63)</f>
        <v>208383.76972353144</v>
      </c>
      <c r="K64" s="180">
        <f>K52*(J52/J64)+K53*J53/J64+K54*J54/J64+K55*J55/J64+K56*J56/J64+K57*J57/J64+K58*J58/J64+K59*J59/J64+K60*J60/J64+K61*J61/J64+K62*J62/J64+K63*J63/J64</f>
        <v>0.7341539604842614</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4AF2EE2E-6730-2641-9120-5D88C4C3C2F0}">
          <x14:formula1>
            <xm:f>'Answer keys'!$G$2:$G$16</xm:f>
          </x14:formula1>
          <xm:sqref>B23</xm:sqref>
        </x14:dataValidation>
        <x14:dataValidation type="list" allowBlank="1" showInputMessage="1" showErrorMessage="1" xr:uid="{D1CF3BBB-EEC3-F149-B56B-8213DBD42B6F}">
          <x14:formula1>
            <xm:f>'Country equity risk premiums'!$A$5:$A$190</xm:f>
          </x14:formula1>
          <xm:sqref>G5:G15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3"/>
  <cols>
    <col min="6" max="6" width="12.83203125" bestFit="1" customWidth="1"/>
  </cols>
  <sheetData>
    <row r="1" spans="1:10" s="6" customFormat="1" ht="19">
      <c r="A1" s="29" t="s">
        <v>404</v>
      </c>
      <c r="B1" s="29"/>
      <c r="C1" s="29"/>
      <c r="D1" s="29"/>
      <c r="E1" s="29"/>
      <c r="F1" s="29"/>
      <c r="G1" s="29"/>
      <c r="H1" s="29"/>
      <c r="I1" s="29"/>
      <c r="J1" s="29"/>
    </row>
    <row r="2" spans="1:10" s="8" customFormat="1" ht="14">
      <c r="A2" s="8" t="s">
        <v>405</v>
      </c>
    </row>
    <row r="3" spans="1:10" s="8" customFormat="1" ht="14">
      <c r="A3" s="8" t="s">
        <v>406</v>
      </c>
    </row>
    <row r="4" spans="1:10" s="8" customFormat="1" ht="14"/>
    <row r="5" spans="1:10" s="8" customFormat="1" ht="14">
      <c r="A5" s="17" t="s">
        <v>6</v>
      </c>
    </row>
    <row r="6" spans="1:10" s="8" customFormat="1" ht="14">
      <c r="A6" s="8" t="s">
        <v>407</v>
      </c>
      <c r="F6" s="132">
        <v>5</v>
      </c>
      <c r="G6" s="8" t="s">
        <v>408</v>
      </c>
    </row>
    <row r="7" spans="1:10" s="8" customFormat="1" ht="14">
      <c r="A7" s="8" t="s">
        <v>409</v>
      </c>
      <c r="F7" s="33">
        <v>1544</v>
      </c>
      <c r="G7" s="8" t="s">
        <v>410</v>
      </c>
    </row>
    <row r="8" spans="1:10" s="8" customFormat="1" ht="14">
      <c r="A8" s="8" t="s">
        <v>411</v>
      </c>
    </row>
    <row r="9" spans="1:10" s="8" customFormat="1" ht="14">
      <c r="A9" s="8" t="s">
        <v>412</v>
      </c>
    </row>
    <row r="10" spans="1:10" s="186" customFormat="1" ht="14">
      <c r="A10" s="184" t="s">
        <v>118</v>
      </c>
      <c r="B10" s="184" t="s">
        <v>413</v>
      </c>
      <c r="C10" s="185"/>
      <c r="D10" s="185"/>
      <c r="E10" s="185"/>
      <c r="F10" s="185"/>
      <c r="G10" s="185"/>
      <c r="H10" s="185"/>
      <c r="I10" s="185"/>
    </row>
    <row r="11" spans="1:10" s="186" customFormat="1" ht="14">
      <c r="A11" s="187">
        <v>-1</v>
      </c>
      <c r="B11" s="188">
        <v>1589</v>
      </c>
      <c r="C11" s="185" t="s">
        <v>414</v>
      </c>
      <c r="D11" s="185"/>
      <c r="E11" s="185"/>
      <c r="F11" s="185"/>
      <c r="G11" s="185"/>
      <c r="H11" s="185"/>
      <c r="I11" s="185"/>
    </row>
    <row r="12" spans="1:10" s="186" customFormat="1" ht="14">
      <c r="A12" s="187">
        <f>IF((0-A11)&lt;$F$6,IF(A11&gt;-1,,A11-1),)</f>
        <v>-2</v>
      </c>
      <c r="B12" s="188">
        <v>1782</v>
      </c>
      <c r="C12" s="185" t="s">
        <v>415</v>
      </c>
      <c r="D12" s="185"/>
      <c r="E12" s="185"/>
      <c r="F12" s="185"/>
      <c r="G12" s="185"/>
      <c r="H12" s="185"/>
      <c r="I12" s="185"/>
    </row>
    <row r="13" spans="1:10" s="186" customFormat="1" ht="14">
      <c r="A13" s="187">
        <f t="shared" ref="A13:A20" si="0">IF((0-A12)&lt;$F$6,IF(A12&gt;-1,,A12-1),)</f>
        <v>-3</v>
      </c>
      <c r="B13" s="188">
        <v>1658</v>
      </c>
      <c r="C13" s="185"/>
      <c r="D13" s="185"/>
      <c r="E13" s="185"/>
      <c r="F13" s="185"/>
      <c r="G13" s="185"/>
      <c r="H13" s="185"/>
      <c r="I13" s="185"/>
    </row>
    <row r="14" spans="1:10" s="186" customFormat="1" ht="14">
      <c r="A14" s="187">
        <f t="shared" si="0"/>
        <v>-4</v>
      </c>
      <c r="B14" s="188">
        <v>1356</v>
      </c>
      <c r="C14" s="185"/>
      <c r="D14" s="185"/>
      <c r="E14" s="185"/>
      <c r="F14" s="185"/>
      <c r="G14" s="185"/>
      <c r="H14" s="185"/>
      <c r="I14" s="185"/>
    </row>
    <row r="15" spans="1:10" s="186" customFormat="1" ht="14">
      <c r="A15" s="187">
        <f t="shared" si="0"/>
        <v>-5</v>
      </c>
      <c r="B15" s="188">
        <v>1393</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122</v>
      </c>
      <c r="B22" s="185"/>
      <c r="C22" s="185"/>
      <c r="D22" s="185"/>
      <c r="E22" s="185"/>
      <c r="F22" s="185"/>
      <c r="G22" s="185"/>
      <c r="H22" s="185"/>
      <c r="I22" s="185"/>
    </row>
    <row r="23" spans="1:9" s="186" customFormat="1" ht="14">
      <c r="A23" s="184" t="s">
        <v>118</v>
      </c>
      <c r="B23" s="184" t="s">
        <v>416</v>
      </c>
      <c r="C23" s="190" t="s">
        <v>417</v>
      </c>
      <c r="D23" s="191"/>
      <c r="E23" s="185" t="s">
        <v>418</v>
      </c>
      <c r="F23" s="185"/>
      <c r="G23" s="185"/>
      <c r="H23" s="185"/>
      <c r="I23" s="185"/>
    </row>
    <row r="24" spans="1:9" s="186" customFormat="1" ht="14">
      <c r="A24" s="184" t="s">
        <v>419</v>
      </c>
      <c r="B24" s="184">
        <f>F7</f>
        <v>1544</v>
      </c>
      <c r="C24" s="184">
        <f>1</f>
        <v>1</v>
      </c>
      <c r="D24" s="184">
        <f>B24*C24</f>
        <v>1544</v>
      </c>
      <c r="E24" s="185"/>
      <c r="F24" s="185"/>
      <c r="G24" s="185"/>
      <c r="H24" s="185"/>
      <c r="I24" s="185"/>
    </row>
    <row r="25" spans="1:9" s="186" customFormat="1" ht="14">
      <c r="A25" s="187">
        <f>A11</f>
        <v>-1</v>
      </c>
      <c r="B25" s="184">
        <f>B11</f>
        <v>1589</v>
      </c>
      <c r="C25" s="184">
        <f>IF(A25&lt;0,($F$6+A25)/$F$6,0)</f>
        <v>0.8</v>
      </c>
      <c r="D25" s="184">
        <f>B25*C25</f>
        <v>1271.2</v>
      </c>
      <c r="E25" s="192">
        <f t="shared" ref="E25:E34" si="1">IF(A25&lt;0,B25/$F$6,0)</f>
        <v>317.8</v>
      </c>
      <c r="F25" s="185"/>
      <c r="G25" s="185"/>
      <c r="H25" s="185"/>
      <c r="I25" s="185"/>
    </row>
    <row r="26" spans="1:9" s="186" customFormat="1" ht="14">
      <c r="A26" s="187">
        <f t="shared" ref="A26:B34" si="2">A12</f>
        <v>-2</v>
      </c>
      <c r="B26" s="184">
        <f t="shared" si="2"/>
        <v>1782</v>
      </c>
      <c r="C26" s="184">
        <f>IF(A26&lt;0,($F$6+A26)/$F$6,0)</f>
        <v>0.6</v>
      </c>
      <c r="D26" s="184">
        <f t="shared" ref="D26:D34" si="3">B26*C26</f>
        <v>1069.2</v>
      </c>
      <c r="E26" s="192">
        <f t="shared" si="1"/>
        <v>356.4</v>
      </c>
      <c r="F26" s="185"/>
      <c r="G26" s="185"/>
      <c r="H26" s="185"/>
      <c r="I26" s="185"/>
    </row>
    <row r="27" spans="1:9" s="186" customFormat="1" ht="14">
      <c r="A27" s="187">
        <f t="shared" si="2"/>
        <v>-3</v>
      </c>
      <c r="B27" s="184">
        <f t="shared" si="2"/>
        <v>1658</v>
      </c>
      <c r="C27" s="184">
        <f>IF(A27&lt;0,($F$6+A27)/$F$6,0)</f>
        <v>0.4</v>
      </c>
      <c r="D27" s="184">
        <f t="shared" si="3"/>
        <v>663.2</v>
      </c>
      <c r="E27" s="192">
        <f t="shared" si="1"/>
        <v>331.6</v>
      </c>
      <c r="F27" s="185"/>
      <c r="G27" s="185"/>
      <c r="H27" s="185"/>
      <c r="I27" s="185"/>
    </row>
    <row r="28" spans="1:9" s="186" customFormat="1" ht="14">
      <c r="A28" s="187">
        <f t="shared" si="2"/>
        <v>-4</v>
      </c>
      <c r="B28" s="184">
        <f t="shared" si="2"/>
        <v>1356</v>
      </c>
      <c r="C28" s="184">
        <f t="shared" ref="C28:C34" si="4">IF(A28&lt;0,($F$6+A28)/$F$6,0)</f>
        <v>0.2</v>
      </c>
      <c r="D28" s="184">
        <f t="shared" si="3"/>
        <v>271.2</v>
      </c>
      <c r="E28" s="192">
        <f t="shared" si="1"/>
        <v>271.2</v>
      </c>
      <c r="F28" s="185"/>
      <c r="G28" s="185"/>
      <c r="H28" s="185"/>
      <c r="I28" s="185"/>
    </row>
    <row r="29" spans="1:9" s="186" customFormat="1" ht="14">
      <c r="A29" s="187">
        <f t="shared" si="2"/>
        <v>-5</v>
      </c>
      <c r="B29" s="184">
        <f t="shared" si="2"/>
        <v>1393</v>
      </c>
      <c r="C29" s="184">
        <f t="shared" si="4"/>
        <v>0</v>
      </c>
      <c r="D29" s="184">
        <f t="shared" si="3"/>
        <v>0</v>
      </c>
      <c r="E29" s="192">
        <f t="shared" si="1"/>
        <v>278.60000000000002</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420</v>
      </c>
      <c r="D35" s="195">
        <f>SUM(D24:D34)</f>
        <v>4818.7999999999993</v>
      </c>
      <c r="E35" s="25">
        <f>SUM(E25:E34)</f>
        <v>1555.6</v>
      </c>
    </row>
    <row r="36" spans="1:9" ht="14" thickBot="1"/>
    <row r="37" spans="1:9" s="8" customFormat="1" ht="15" thickBot="1">
      <c r="A37" s="8" t="s">
        <v>421</v>
      </c>
      <c r="D37" s="195">
        <f>E35</f>
        <v>1555.6</v>
      </c>
    </row>
    <row r="38" spans="1:9" s="8" customFormat="1" ht="15" thickBot="1"/>
    <row r="39" spans="1:9" s="8" customFormat="1" ht="14">
      <c r="A39" s="8" t="s">
        <v>422</v>
      </c>
      <c r="D39" s="196">
        <f>F7-D37</f>
        <v>-11.599999999999909</v>
      </c>
      <c r="E39" s="8" t="s">
        <v>423</v>
      </c>
    </row>
    <row r="40" spans="1:9" ht="14">
      <c r="A40" t="s">
        <v>424</v>
      </c>
      <c r="D40" s="197">
        <f>D39*'Input sheet'!B21</f>
        <v>-2.8999999999999773</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D19" sqref="D19"/>
    </sheetView>
  </sheetViews>
  <sheetFormatPr baseColWidth="10" defaultRowHeight="13"/>
  <sheetData>
    <row r="1" spans="1:11" s="6" customFormat="1" ht="19">
      <c r="A1" s="29" t="s">
        <v>115</v>
      </c>
      <c r="B1" s="29"/>
      <c r="C1" s="29"/>
      <c r="D1" s="29"/>
      <c r="E1" s="29"/>
      <c r="F1" s="29"/>
      <c r="G1" s="29"/>
      <c r="H1" s="29"/>
      <c r="I1" s="29"/>
      <c r="J1" s="29"/>
      <c r="K1" s="29"/>
    </row>
    <row r="2" spans="1:11" s="6" customFormat="1" ht="19">
      <c r="A2" s="29" t="s">
        <v>160</v>
      </c>
      <c r="B2" s="29"/>
      <c r="C2" s="29"/>
      <c r="D2" s="29"/>
      <c r="E2" s="29"/>
      <c r="F2" s="29"/>
      <c r="G2" s="29"/>
      <c r="H2" s="29"/>
      <c r="I2" s="29"/>
      <c r="J2" s="29"/>
      <c r="K2" s="29"/>
    </row>
    <row r="3" spans="1:11" s="17" customFormat="1" ht="14">
      <c r="A3" s="17" t="s">
        <v>6</v>
      </c>
    </row>
    <row r="4" spans="1:11" s="8" customFormat="1" ht="14">
      <c r="A4" s="8" t="s">
        <v>116</v>
      </c>
      <c r="E4" s="33">
        <v>531</v>
      </c>
    </row>
    <row r="5" spans="1:11" s="15" customFormat="1" ht="14">
      <c r="A5" s="15" t="s">
        <v>117</v>
      </c>
    </row>
    <row r="6" spans="1:11" s="8" customFormat="1" ht="14">
      <c r="A6" s="30" t="s">
        <v>118</v>
      </c>
      <c r="B6" s="30" t="s">
        <v>119</v>
      </c>
      <c r="C6" s="8" t="s">
        <v>120</v>
      </c>
    </row>
    <row r="7" spans="1:11" s="8" customFormat="1" ht="14">
      <c r="A7" s="30">
        <v>1</v>
      </c>
      <c r="B7" s="327">
        <v>530</v>
      </c>
    </row>
    <row r="8" spans="1:11" s="8" customFormat="1" ht="14">
      <c r="A8" s="30">
        <v>2</v>
      </c>
      <c r="B8" s="327">
        <v>530</v>
      </c>
    </row>
    <row r="9" spans="1:11" s="8" customFormat="1" ht="14">
      <c r="A9" s="30">
        <v>3</v>
      </c>
      <c r="B9" s="327">
        <v>530</v>
      </c>
    </row>
    <row r="10" spans="1:11" s="8" customFormat="1" ht="14">
      <c r="A10" s="30">
        <v>4</v>
      </c>
      <c r="B10" s="327">
        <v>530</v>
      </c>
    </row>
    <row r="11" spans="1:11" s="8" customFormat="1" ht="14">
      <c r="A11" s="30">
        <v>5</v>
      </c>
      <c r="B11" s="327">
        <v>530</v>
      </c>
    </row>
    <row r="12" spans="1:11" s="8" customFormat="1" ht="14">
      <c r="A12" s="30" t="s">
        <v>121</v>
      </c>
      <c r="B12" s="326">
        <v>2000</v>
      </c>
    </row>
    <row r="13" spans="1:11" s="8" customFormat="1" ht="14"/>
    <row r="14" spans="1:11" s="31" customFormat="1" ht="17" thickBot="1">
      <c r="A14" s="31" t="s">
        <v>122</v>
      </c>
    </row>
    <row r="15" spans="1:11" s="8" customFormat="1" ht="15" thickBot="1">
      <c r="A15" s="8" t="s">
        <v>123</v>
      </c>
      <c r="C15" s="80">
        <f>'Cost of capital worksheet'!B25</f>
        <v>2.6764000000000003E-2</v>
      </c>
      <c r="D15" s="8" t="s">
        <v>235</v>
      </c>
    </row>
    <row r="16" spans="1:11" s="8" customFormat="1" ht="14"/>
    <row r="17" spans="1:7" s="8" customFormat="1" ht="14">
      <c r="D17" s="34"/>
    </row>
    <row r="18" spans="1:7" s="8" customFormat="1" ht="14">
      <c r="A18" s="8" t="s">
        <v>124</v>
      </c>
      <c r="D18" s="35">
        <v>4</v>
      </c>
      <c r="E18" s="8" t="s">
        <v>125</v>
      </c>
    </row>
    <row r="19" spans="1:7" s="17" customFormat="1" ht="14">
      <c r="E19" s="8" t="s">
        <v>126</v>
      </c>
    </row>
    <row r="20" spans="1:7" s="15" customFormat="1" ht="14">
      <c r="A20" s="15" t="s">
        <v>127</v>
      </c>
    </row>
    <row r="21" spans="1:7" s="8" customFormat="1" ht="14">
      <c r="A21" s="30" t="s">
        <v>118</v>
      </c>
      <c r="B21" s="30" t="s">
        <v>119</v>
      </c>
      <c r="C21" s="30" t="s">
        <v>128</v>
      </c>
    </row>
    <row r="22" spans="1:7" s="8" customFormat="1" ht="14">
      <c r="A22" s="19">
        <f>A7</f>
        <v>1</v>
      </c>
      <c r="B22" s="28">
        <f>B7</f>
        <v>530</v>
      </c>
      <c r="C22" s="9">
        <f>B22/(1+$C$15)^A22</f>
        <v>516.18482923047554</v>
      </c>
    </row>
    <row r="23" spans="1:7" s="8" customFormat="1" ht="14">
      <c r="A23" s="19">
        <f t="shared" ref="A23:B26" si="0">A8</f>
        <v>2</v>
      </c>
      <c r="B23" s="28">
        <f t="shared" si="0"/>
        <v>530</v>
      </c>
      <c r="C23" s="9">
        <f>B23/(1+$C$15)^A23</f>
        <v>502.7297696748966</v>
      </c>
    </row>
    <row r="24" spans="1:7" s="8" customFormat="1" ht="14">
      <c r="A24" s="19">
        <f t="shared" si="0"/>
        <v>3</v>
      </c>
      <c r="B24" s="28">
        <f t="shared" si="0"/>
        <v>530</v>
      </c>
      <c r="C24" s="9">
        <f>B24/(1+$C$15)^A24</f>
        <v>489.6254345447411</v>
      </c>
    </row>
    <row r="25" spans="1:7" s="8" customFormat="1" ht="14">
      <c r="A25" s="19">
        <f t="shared" si="0"/>
        <v>4</v>
      </c>
      <c r="B25" s="28">
        <f t="shared" si="0"/>
        <v>530</v>
      </c>
      <c r="C25" s="9">
        <f>B25/(1+$C$15)^A25</f>
        <v>476.86268173089536</v>
      </c>
    </row>
    <row r="26" spans="1:7" s="8" customFormat="1" ht="14">
      <c r="A26" s="19">
        <f t="shared" si="0"/>
        <v>5</v>
      </c>
      <c r="B26" s="28">
        <f t="shared" si="0"/>
        <v>530</v>
      </c>
      <c r="C26" s="9">
        <f>B26/(1+$C$15)^A26</f>
        <v>464.43260742575251</v>
      </c>
    </row>
    <row r="27" spans="1:7" s="8" customFormat="1" ht="15" thickBot="1">
      <c r="A27" s="36" t="str">
        <f>A12</f>
        <v>6 and beyond</v>
      </c>
      <c r="B27" s="37">
        <f>IF(B12&gt;0,IF(D18&gt;0,B12/D18,B12),0)</f>
        <v>500</v>
      </c>
      <c r="C27" s="38">
        <f>IF(D18&gt;0,(B27*(1-(1+C15)^(-D18))/C15)/(1+$C$15)^5,B27/(1+C15)^6)</f>
        <v>1641.3060872226524</v>
      </c>
      <c r="D27" s="8" t="s">
        <v>129</v>
      </c>
    </row>
    <row r="28" spans="1:7" s="8" customFormat="1" ht="15" thickBot="1">
      <c r="A28" s="32" t="s">
        <v>130</v>
      </c>
      <c r="B28" s="39"/>
      <c r="C28" s="40">
        <f>SUM(C22:C27)</f>
        <v>4091.1414098294135</v>
      </c>
    </row>
    <row r="29" spans="1:7" s="8" customFormat="1" ht="14"/>
    <row r="30" spans="1:7" s="8" customFormat="1" ht="14">
      <c r="A30" s="15" t="s">
        <v>131</v>
      </c>
    </row>
    <row r="31" spans="1:7" s="8" customFormat="1" ht="15" thickBot="1">
      <c r="A31" s="8" t="s">
        <v>132</v>
      </c>
      <c r="F31" s="38">
        <f>C28/(5+D18)</f>
        <v>454.57126775882375</v>
      </c>
      <c r="G31" s="8" t="s">
        <v>133</v>
      </c>
    </row>
    <row r="32" spans="1:7" s="8" customFormat="1" ht="15" thickBot="1">
      <c r="A32" s="8" t="s">
        <v>134</v>
      </c>
      <c r="F32" s="81">
        <f>E4-F31</f>
        <v>76.428732241176249</v>
      </c>
      <c r="G32" s="8" t="s">
        <v>136</v>
      </c>
    </row>
    <row r="33" spans="1:7" s="8" customFormat="1" ht="15" thickBot="1">
      <c r="A33" s="8" t="s">
        <v>135</v>
      </c>
      <c r="F33" s="41">
        <f>C28</f>
        <v>4091.1414098294135</v>
      </c>
      <c r="G33" s="8" t="s">
        <v>137</v>
      </c>
    </row>
    <row r="34" spans="1:7" ht="14">
      <c r="A34" s="8" t="s">
        <v>495</v>
      </c>
      <c r="F34" s="241">
        <f>C28/(5+D18)</f>
        <v>454.57126775882375</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k1667</cp:lastModifiedBy>
  <cp:lastPrinted>2011-01-17T15:04:26Z</cp:lastPrinted>
  <dcterms:created xsi:type="dcterms:W3CDTF">2000-02-22T13:53:50Z</dcterms:created>
  <dcterms:modified xsi:type="dcterms:W3CDTF">2021-10-20T01:03:43Z</dcterms:modified>
</cp:coreProperties>
</file>